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drawings/drawing1.xml" ContentType="application/vnd.openxmlformats-officedocument.drawing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R042856\Documents\Sports\"/>
    </mc:Choice>
  </mc:AlternateContent>
  <bookViews>
    <workbookView xWindow="0" yWindow="0" windowWidth="19200" windowHeight="7700" tabRatio="956" firstSheet="8" activeTab="18"/>
  </bookViews>
  <sheets>
    <sheet name="Week 1" sheetId="2" state="hidden" r:id="rId1"/>
    <sheet name="Week 2" sheetId="4" state="hidden" r:id="rId2"/>
    <sheet name="Week 3" sheetId="5" state="hidden" r:id="rId3"/>
    <sheet name="Week 4" sheetId="6" state="hidden" r:id="rId4"/>
    <sheet name="Week 5" sheetId="7" state="hidden" r:id="rId5"/>
    <sheet name="Week 6" sheetId="8" state="hidden" r:id="rId6"/>
    <sheet name="Week 7" sheetId="9" state="hidden" r:id="rId7"/>
    <sheet name="Week 8" sheetId="10" state="hidden" r:id="rId8"/>
    <sheet name="Week 9" sheetId="11" r:id="rId9"/>
    <sheet name="Week 10" sheetId="12" r:id="rId10"/>
    <sheet name="Week 11" sheetId="13" r:id="rId11"/>
    <sheet name="Week 12" sheetId="14" r:id="rId12"/>
    <sheet name="Week 13" sheetId="15" r:id="rId13"/>
    <sheet name="Week 14" sheetId="16" r:id="rId14"/>
    <sheet name="Week 15" sheetId="17" r:id="rId15"/>
    <sheet name="Week 16" sheetId="18" r:id="rId16"/>
    <sheet name="Week 17" sheetId="19" r:id="rId17"/>
    <sheet name="Full Season" sheetId="3" r:id="rId18"/>
    <sheet name="Money League" sheetId="20" r:id="rId1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0" l="1"/>
  <c r="N17" i="20"/>
  <c r="N16" i="20"/>
  <c r="N10" i="20"/>
  <c r="N6" i="20"/>
  <c r="R26" i="19"/>
  <c r="R27" i="19"/>
  <c r="R28" i="19"/>
  <c r="R29" i="19"/>
  <c r="R30" i="19"/>
  <c r="S11" i="19" s="1"/>
  <c r="L11" i="20" s="1"/>
  <c r="R31" i="19"/>
  <c r="R32" i="19"/>
  <c r="R33" i="19"/>
  <c r="R34" i="19"/>
  <c r="R35" i="19"/>
  <c r="R36" i="19"/>
  <c r="R37" i="19"/>
  <c r="R38" i="19"/>
  <c r="R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25" i="19"/>
  <c r="M26" i="19"/>
  <c r="N26" i="19"/>
  <c r="O26" i="19"/>
  <c r="P26" i="19"/>
  <c r="Q26" i="19"/>
  <c r="M27" i="19"/>
  <c r="N27" i="19"/>
  <c r="O27" i="19"/>
  <c r="S8" i="19" s="1"/>
  <c r="L8" i="20" s="1"/>
  <c r="P27" i="19"/>
  <c r="Q27" i="19"/>
  <c r="M28" i="19"/>
  <c r="N28" i="19"/>
  <c r="O28" i="19"/>
  <c r="P28" i="19"/>
  <c r="Q28" i="19"/>
  <c r="M29" i="19"/>
  <c r="N29" i="19"/>
  <c r="O29" i="19"/>
  <c r="P29" i="19"/>
  <c r="Q29" i="19"/>
  <c r="M30" i="19"/>
  <c r="N30" i="19"/>
  <c r="O30" i="19"/>
  <c r="P30" i="19"/>
  <c r="Q30" i="19"/>
  <c r="M31" i="19"/>
  <c r="N31" i="19"/>
  <c r="O31" i="19"/>
  <c r="P31" i="19"/>
  <c r="Q31" i="19"/>
  <c r="M32" i="19"/>
  <c r="N32" i="19"/>
  <c r="O32" i="19"/>
  <c r="P32" i="19"/>
  <c r="Q32" i="19"/>
  <c r="M33" i="19"/>
  <c r="N33" i="19"/>
  <c r="O33" i="19"/>
  <c r="P33" i="19"/>
  <c r="Q33" i="19"/>
  <c r="M34" i="19"/>
  <c r="N34" i="19"/>
  <c r="O34" i="19"/>
  <c r="P34" i="19"/>
  <c r="S15" i="19" s="1"/>
  <c r="L15" i="20" s="1"/>
  <c r="Q34" i="19"/>
  <c r="M35" i="19"/>
  <c r="N35" i="19"/>
  <c r="O35" i="19"/>
  <c r="S16" i="19" s="1"/>
  <c r="L16" i="20" s="1"/>
  <c r="P35" i="19"/>
  <c r="Q35" i="19"/>
  <c r="M36" i="19"/>
  <c r="N36" i="19"/>
  <c r="O36" i="19"/>
  <c r="P36" i="19"/>
  <c r="Q36" i="19"/>
  <c r="M37" i="19"/>
  <c r="N37" i="19"/>
  <c r="O37" i="19"/>
  <c r="P37" i="19"/>
  <c r="Q37" i="19"/>
  <c r="M38" i="19"/>
  <c r="N38" i="19"/>
  <c r="O38" i="19"/>
  <c r="P38" i="19"/>
  <c r="Q38" i="19"/>
  <c r="Q25" i="19"/>
  <c r="P25" i="19"/>
  <c r="O25" i="19"/>
  <c r="N25" i="19"/>
  <c r="M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25" i="19"/>
  <c r="C26" i="19"/>
  <c r="D26" i="19"/>
  <c r="F26" i="19"/>
  <c r="H26" i="19"/>
  <c r="L26" i="19"/>
  <c r="C27" i="19"/>
  <c r="D27" i="19"/>
  <c r="F27" i="19"/>
  <c r="H27" i="19"/>
  <c r="L27" i="19"/>
  <c r="C28" i="19"/>
  <c r="D28" i="19"/>
  <c r="F28" i="19"/>
  <c r="H28" i="19"/>
  <c r="L28" i="19"/>
  <c r="C29" i="19"/>
  <c r="D29" i="19"/>
  <c r="F29" i="19"/>
  <c r="H29" i="19"/>
  <c r="L29" i="19"/>
  <c r="C30" i="19"/>
  <c r="D30" i="19"/>
  <c r="F30" i="19"/>
  <c r="H30" i="19"/>
  <c r="L30" i="19"/>
  <c r="C31" i="19"/>
  <c r="D31" i="19"/>
  <c r="F31" i="19"/>
  <c r="H31" i="19"/>
  <c r="L31" i="19"/>
  <c r="C32" i="19"/>
  <c r="D32" i="19"/>
  <c r="F32" i="19"/>
  <c r="H32" i="19"/>
  <c r="L32" i="19"/>
  <c r="C33" i="19"/>
  <c r="D33" i="19"/>
  <c r="F33" i="19"/>
  <c r="H33" i="19"/>
  <c r="L33" i="19"/>
  <c r="C34" i="19"/>
  <c r="D34" i="19"/>
  <c r="F34" i="19"/>
  <c r="H34" i="19"/>
  <c r="L34" i="19"/>
  <c r="C35" i="19"/>
  <c r="D35" i="19"/>
  <c r="F35" i="19"/>
  <c r="H35" i="19"/>
  <c r="L35" i="19"/>
  <c r="C36" i="19"/>
  <c r="D36" i="19"/>
  <c r="F36" i="19"/>
  <c r="H36" i="19"/>
  <c r="L36" i="19"/>
  <c r="C37" i="19"/>
  <c r="D37" i="19"/>
  <c r="F37" i="19"/>
  <c r="H37" i="19"/>
  <c r="L37" i="19"/>
  <c r="C38" i="19"/>
  <c r="D38" i="19"/>
  <c r="F38" i="19"/>
  <c r="H38" i="19"/>
  <c r="L38" i="19"/>
  <c r="L25" i="19"/>
  <c r="H25" i="19"/>
  <c r="F25" i="19"/>
  <c r="D25" i="19"/>
  <c r="C25" i="19"/>
  <c r="S17" i="19" l="1"/>
  <c r="L17" i="20" s="1"/>
  <c r="S7" i="19"/>
  <c r="L7" i="20" s="1"/>
  <c r="S13" i="19"/>
  <c r="L13" i="20" s="1"/>
  <c r="S12" i="19"/>
  <c r="L12" i="20" s="1"/>
  <c r="S19" i="19"/>
  <c r="L19" i="20" s="1"/>
  <c r="S14" i="19"/>
  <c r="L14" i="20" s="1"/>
  <c r="S6" i="19"/>
  <c r="L6" i="20" s="1"/>
  <c r="S18" i="19"/>
  <c r="L18" i="20" s="1"/>
  <c r="S10" i="19"/>
  <c r="L10" i="20" s="1"/>
  <c r="S9" i="19"/>
  <c r="L9" i="20" s="1"/>
  <c r="R26" i="18" l="1"/>
  <c r="R27" i="18"/>
  <c r="R28" i="18"/>
  <c r="R29" i="18"/>
  <c r="R30" i="18"/>
  <c r="R31" i="18"/>
  <c r="R32" i="18"/>
  <c r="R33" i="18"/>
  <c r="R34" i="18"/>
  <c r="R35" i="18"/>
  <c r="R36" i="18"/>
  <c r="R37" i="18"/>
  <c r="R38" i="18"/>
  <c r="R25" i="18"/>
  <c r="N15" i="20"/>
  <c r="P26" i="18" l="1"/>
  <c r="Q26" i="18"/>
  <c r="P27" i="18"/>
  <c r="Q27" i="18"/>
  <c r="P28" i="18"/>
  <c r="Q28" i="18"/>
  <c r="P29" i="18"/>
  <c r="Q29" i="18"/>
  <c r="P30" i="18"/>
  <c r="Q30" i="18"/>
  <c r="P31" i="18"/>
  <c r="Q31" i="18"/>
  <c r="P32" i="18"/>
  <c r="Q32" i="18"/>
  <c r="P33" i="18"/>
  <c r="Q33" i="18"/>
  <c r="P34" i="18"/>
  <c r="Q34" i="18"/>
  <c r="P35" i="18"/>
  <c r="Q35" i="18"/>
  <c r="P36" i="18"/>
  <c r="Q36" i="18"/>
  <c r="P37" i="18"/>
  <c r="Q37" i="18"/>
  <c r="P38" i="18"/>
  <c r="Q38" i="18"/>
  <c r="Q25" i="18"/>
  <c r="P25" i="18"/>
  <c r="D26" i="18" l="1"/>
  <c r="E26" i="18"/>
  <c r="F26" i="18"/>
  <c r="G26" i="18"/>
  <c r="H26" i="18"/>
  <c r="I26" i="18"/>
  <c r="J26" i="18"/>
  <c r="K26" i="18"/>
  <c r="L26" i="18"/>
  <c r="M26" i="18"/>
  <c r="N26" i="18"/>
  <c r="O26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S7" i="18" l="1"/>
  <c r="S8" i="18"/>
  <c r="S9" i="18"/>
  <c r="S9" i="3" s="1"/>
  <c r="S10" i="18"/>
  <c r="S10" i="3" s="1"/>
  <c r="S11" i="18"/>
  <c r="S12" i="18"/>
  <c r="S13" i="18"/>
  <c r="S13" i="3" s="1"/>
  <c r="S15" i="18"/>
  <c r="K15" i="20" s="1"/>
  <c r="S16" i="18"/>
  <c r="S17" i="18"/>
  <c r="K17" i="20" s="1"/>
  <c r="S18" i="18"/>
  <c r="K18" i="20" s="1"/>
  <c r="S19" i="18"/>
  <c r="K19" i="20" s="1"/>
  <c r="S6" i="18"/>
  <c r="S6" i="3" s="1"/>
  <c r="S7" i="3"/>
  <c r="S8" i="3"/>
  <c r="S11" i="3"/>
  <c r="S12" i="3"/>
  <c r="K7" i="20"/>
  <c r="K8" i="20"/>
  <c r="K11" i="20"/>
  <c r="K12" i="20"/>
  <c r="K16" i="20"/>
  <c r="K10" i="20" l="1"/>
  <c r="K13" i="20"/>
  <c r="K9" i="20"/>
  <c r="K6" i="20"/>
  <c r="C26" i="18" l="1"/>
  <c r="C27" i="18"/>
  <c r="C28" i="18"/>
  <c r="C29" i="18"/>
  <c r="C30" i="18"/>
  <c r="C31" i="18"/>
  <c r="C32" i="18"/>
  <c r="C33" i="18"/>
  <c r="C34" i="18"/>
  <c r="C35" i="18"/>
  <c r="C36" i="18"/>
  <c r="C37" i="18"/>
  <c r="C38" i="18"/>
  <c r="C25" i="18"/>
  <c r="R26" i="17" l="1"/>
  <c r="R27" i="17"/>
  <c r="R28" i="17"/>
  <c r="R29" i="17"/>
  <c r="R30" i="17"/>
  <c r="R31" i="17"/>
  <c r="R32" i="17"/>
  <c r="R33" i="17"/>
  <c r="R34" i="17"/>
  <c r="R35" i="17"/>
  <c r="R36" i="17"/>
  <c r="R37" i="17"/>
  <c r="R38" i="17"/>
  <c r="R25" i="17"/>
  <c r="Q26" i="17" l="1"/>
  <c r="Q27" i="17"/>
  <c r="Q28" i="17"/>
  <c r="Q29" i="17"/>
  <c r="Q30" i="17"/>
  <c r="Q31" i="17"/>
  <c r="Q32" i="17"/>
  <c r="Q33" i="17"/>
  <c r="Q34" i="17"/>
  <c r="Q35" i="17"/>
  <c r="Q36" i="17"/>
  <c r="Q37" i="17"/>
  <c r="Q38" i="17"/>
  <c r="Q25" i="17"/>
  <c r="L26" i="17"/>
  <c r="M26" i="17"/>
  <c r="N26" i="17"/>
  <c r="O26" i="17"/>
  <c r="P26" i="17"/>
  <c r="L27" i="17"/>
  <c r="M27" i="17"/>
  <c r="N27" i="17"/>
  <c r="O27" i="17"/>
  <c r="P27" i="17"/>
  <c r="L28" i="17"/>
  <c r="M28" i="17"/>
  <c r="N28" i="17"/>
  <c r="O28" i="17"/>
  <c r="P28" i="17"/>
  <c r="L29" i="17"/>
  <c r="M29" i="17"/>
  <c r="N29" i="17"/>
  <c r="O29" i="17"/>
  <c r="P29" i="17"/>
  <c r="L30" i="17"/>
  <c r="M30" i="17"/>
  <c r="N30" i="17"/>
  <c r="O30" i="17"/>
  <c r="P30" i="17"/>
  <c r="L31" i="17"/>
  <c r="M31" i="17"/>
  <c r="N31" i="17"/>
  <c r="O31" i="17"/>
  <c r="P31" i="17"/>
  <c r="L32" i="17"/>
  <c r="M32" i="17"/>
  <c r="N32" i="17"/>
  <c r="O32" i="17"/>
  <c r="P32" i="17"/>
  <c r="L33" i="17"/>
  <c r="M33" i="17"/>
  <c r="N33" i="17"/>
  <c r="O33" i="17"/>
  <c r="P33" i="17"/>
  <c r="L34" i="17"/>
  <c r="M34" i="17"/>
  <c r="N34" i="17"/>
  <c r="O34" i="17"/>
  <c r="P34" i="17"/>
  <c r="L35" i="17"/>
  <c r="M35" i="17"/>
  <c r="N35" i="17"/>
  <c r="O35" i="17"/>
  <c r="P35" i="17"/>
  <c r="L36" i="17"/>
  <c r="M36" i="17"/>
  <c r="N36" i="17"/>
  <c r="O36" i="17"/>
  <c r="P36" i="17"/>
  <c r="L37" i="17"/>
  <c r="M37" i="17"/>
  <c r="N37" i="17"/>
  <c r="O37" i="17"/>
  <c r="P37" i="17"/>
  <c r="L38" i="17"/>
  <c r="M38" i="17"/>
  <c r="N38" i="17"/>
  <c r="O38" i="17"/>
  <c r="P38" i="17"/>
  <c r="P25" i="17"/>
  <c r="O25" i="17"/>
  <c r="N25" i="17"/>
  <c r="M25" i="17"/>
  <c r="E26" i="17" l="1"/>
  <c r="F26" i="17"/>
  <c r="G26" i="17"/>
  <c r="H26" i="17"/>
  <c r="I26" i="17"/>
  <c r="J26" i="17"/>
  <c r="K26" i="17"/>
  <c r="E27" i="17"/>
  <c r="F27" i="17"/>
  <c r="G27" i="17"/>
  <c r="H27" i="17"/>
  <c r="I27" i="17"/>
  <c r="J27" i="17"/>
  <c r="K27" i="17"/>
  <c r="E28" i="17"/>
  <c r="F28" i="17"/>
  <c r="G28" i="17"/>
  <c r="H28" i="17"/>
  <c r="I28" i="17"/>
  <c r="J28" i="17"/>
  <c r="K28" i="17"/>
  <c r="E29" i="17"/>
  <c r="F29" i="17"/>
  <c r="G29" i="17"/>
  <c r="H29" i="17"/>
  <c r="I29" i="17"/>
  <c r="J29" i="17"/>
  <c r="K29" i="17"/>
  <c r="E30" i="17"/>
  <c r="F30" i="17"/>
  <c r="G30" i="17"/>
  <c r="H30" i="17"/>
  <c r="I30" i="17"/>
  <c r="J30" i="17"/>
  <c r="K30" i="17"/>
  <c r="E31" i="17"/>
  <c r="F31" i="17"/>
  <c r="G31" i="17"/>
  <c r="H31" i="17"/>
  <c r="I31" i="17"/>
  <c r="J31" i="17"/>
  <c r="K31" i="17"/>
  <c r="E32" i="17"/>
  <c r="F32" i="17"/>
  <c r="G32" i="17"/>
  <c r="H32" i="17"/>
  <c r="I32" i="17"/>
  <c r="J32" i="17"/>
  <c r="K32" i="17"/>
  <c r="E33" i="17"/>
  <c r="F33" i="17"/>
  <c r="G33" i="17"/>
  <c r="H33" i="17"/>
  <c r="I33" i="17"/>
  <c r="J33" i="17"/>
  <c r="K33" i="17"/>
  <c r="E34" i="17"/>
  <c r="F34" i="17"/>
  <c r="G34" i="17"/>
  <c r="H34" i="17"/>
  <c r="I34" i="17"/>
  <c r="J34" i="17"/>
  <c r="K34" i="17"/>
  <c r="E35" i="17"/>
  <c r="F35" i="17"/>
  <c r="G35" i="17"/>
  <c r="H35" i="17"/>
  <c r="I35" i="17"/>
  <c r="J35" i="17"/>
  <c r="K35" i="17"/>
  <c r="E36" i="17"/>
  <c r="F36" i="17"/>
  <c r="G36" i="17"/>
  <c r="H36" i="17"/>
  <c r="I36" i="17"/>
  <c r="J36" i="17"/>
  <c r="K36" i="17"/>
  <c r="E37" i="17"/>
  <c r="F37" i="17"/>
  <c r="G37" i="17"/>
  <c r="H37" i="17"/>
  <c r="I37" i="17"/>
  <c r="J37" i="17"/>
  <c r="K37" i="17"/>
  <c r="E38" i="17"/>
  <c r="F38" i="17"/>
  <c r="G38" i="17"/>
  <c r="H38" i="17"/>
  <c r="I38" i="17"/>
  <c r="J38" i="17"/>
  <c r="K38" i="17"/>
  <c r="L25" i="17"/>
  <c r="K25" i="17"/>
  <c r="J25" i="17"/>
  <c r="I25" i="17"/>
  <c r="H25" i="17"/>
  <c r="G25" i="17"/>
  <c r="F25" i="17"/>
  <c r="E25" i="17"/>
  <c r="D26" i="17" l="1"/>
  <c r="D27" i="17"/>
  <c r="D28" i="17"/>
  <c r="D29" i="17"/>
  <c r="D30" i="17"/>
  <c r="D31" i="17"/>
  <c r="D32" i="17"/>
  <c r="D33" i="17"/>
  <c r="D34" i="17"/>
  <c r="D35" i="17"/>
  <c r="D36" i="17"/>
  <c r="D37" i="17"/>
  <c r="D38" i="17"/>
  <c r="D25" i="17"/>
  <c r="C26" i="17" l="1"/>
  <c r="C27" i="17"/>
  <c r="C28" i="17"/>
  <c r="C29" i="17"/>
  <c r="C30" i="17"/>
  <c r="C31" i="17"/>
  <c r="C32" i="17"/>
  <c r="C33" i="17"/>
  <c r="C34" i="17"/>
  <c r="C35" i="17"/>
  <c r="C36" i="17"/>
  <c r="C37" i="17"/>
  <c r="C38" i="17"/>
  <c r="C25" i="17"/>
  <c r="R26" i="16" l="1"/>
  <c r="R27" i="16"/>
  <c r="R28" i="16"/>
  <c r="R29" i="16"/>
  <c r="R30" i="16"/>
  <c r="R31" i="16"/>
  <c r="R32" i="16"/>
  <c r="R33" i="16"/>
  <c r="R34" i="16"/>
  <c r="R35" i="16"/>
  <c r="R36" i="16"/>
  <c r="R37" i="16"/>
  <c r="R38" i="16"/>
  <c r="R25" i="16"/>
  <c r="R21" i="3" l="1"/>
  <c r="S21" i="3"/>
  <c r="T21" i="3"/>
  <c r="N26" i="16" l="1"/>
  <c r="N27" i="16"/>
  <c r="N28" i="16"/>
  <c r="N29" i="16"/>
  <c r="N30" i="16"/>
  <c r="N31" i="16"/>
  <c r="N32" i="16"/>
  <c r="N33" i="16"/>
  <c r="N34" i="16"/>
  <c r="N35" i="16"/>
  <c r="N36" i="16"/>
  <c r="N37" i="16"/>
  <c r="N38" i="16"/>
  <c r="N25" i="16"/>
  <c r="U21" i="3" l="1"/>
  <c r="Q21" i="3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25" i="16"/>
  <c r="P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25" i="16"/>
  <c r="C26" i="16" l="1"/>
  <c r="C27" i="16"/>
  <c r="C28" i="16"/>
  <c r="C29" i="16"/>
  <c r="C30" i="16"/>
  <c r="C31" i="16"/>
  <c r="C32" i="16"/>
  <c r="C33" i="16"/>
  <c r="C34" i="16"/>
  <c r="C35" i="16"/>
  <c r="C36" i="16"/>
  <c r="C37" i="16"/>
  <c r="C38" i="16"/>
  <c r="C25" i="16"/>
  <c r="P21" i="3" l="1"/>
  <c r="Q26" i="14" l="1"/>
  <c r="Q27" i="14"/>
  <c r="Q28" i="14"/>
  <c r="Q29" i="14"/>
  <c r="Q30" i="14"/>
  <c r="Q31" i="14"/>
  <c r="Q32" i="14"/>
  <c r="Q33" i="14"/>
  <c r="Q34" i="14"/>
  <c r="Q35" i="14"/>
  <c r="Q36" i="14"/>
  <c r="Q37" i="14"/>
  <c r="Q38" i="14"/>
  <c r="Q25" i="14"/>
  <c r="S7" i="16"/>
  <c r="S8" i="16"/>
  <c r="S10" i="16"/>
  <c r="S12" i="16"/>
  <c r="S17" i="16"/>
  <c r="S18" i="16"/>
  <c r="S19" i="16"/>
  <c r="S6" i="16"/>
  <c r="S9" i="16"/>
  <c r="S11" i="16"/>
  <c r="S13" i="16"/>
  <c r="S14" i="16"/>
  <c r="S15" i="16"/>
  <c r="S16" i="16"/>
  <c r="I16" i="20" l="1"/>
  <c r="Q16" i="3"/>
  <c r="I8" i="20"/>
  <c r="Q8" i="3"/>
  <c r="I9" i="20"/>
  <c r="Q9" i="3"/>
  <c r="I17" i="20"/>
  <c r="Q17" i="3"/>
  <c r="I7" i="20"/>
  <c r="Q7" i="3"/>
  <c r="I11" i="20"/>
  <c r="Q11" i="3"/>
  <c r="I15" i="20"/>
  <c r="Q15" i="3"/>
  <c r="I14" i="20"/>
  <c r="Q14" i="3"/>
  <c r="I12" i="20"/>
  <c r="Q12" i="3"/>
  <c r="I18" i="20"/>
  <c r="Q18" i="3"/>
  <c r="I13" i="20"/>
  <c r="Q13" i="3"/>
  <c r="I19" i="20"/>
  <c r="Q19" i="3"/>
  <c r="I10" i="20"/>
  <c r="Q10" i="3"/>
  <c r="I6" i="20"/>
  <c r="Q6" i="3"/>
  <c r="Q20" i="3" s="1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25" i="15"/>
  <c r="L21" i="3"/>
  <c r="L20" i="3"/>
  <c r="U20" i="3" l="1"/>
  <c r="Q22" i="3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25" i="15"/>
  <c r="P26" i="15" l="1"/>
  <c r="P27" i="15"/>
  <c r="P28" i="15"/>
  <c r="P29" i="15"/>
  <c r="P30" i="15"/>
  <c r="P31" i="15"/>
  <c r="P32" i="15"/>
  <c r="P33" i="15"/>
  <c r="P34" i="15"/>
  <c r="P35" i="15"/>
  <c r="P36" i="15"/>
  <c r="P37" i="15"/>
  <c r="P38" i="15"/>
  <c r="P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C26" i="15"/>
  <c r="D26" i="15"/>
  <c r="E26" i="15"/>
  <c r="F26" i="15"/>
  <c r="H26" i="15"/>
  <c r="I26" i="15"/>
  <c r="J26" i="15"/>
  <c r="C27" i="15"/>
  <c r="D27" i="15"/>
  <c r="E27" i="15"/>
  <c r="F27" i="15"/>
  <c r="H27" i="15"/>
  <c r="I27" i="15"/>
  <c r="J27" i="15"/>
  <c r="C28" i="15"/>
  <c r="D28" i="15"/>
  <c r="E28" i="15"/>
  <c r="F28" i="15"/>
  <c r="H28" i="15"/>
  <c r="I28" i="15"/>
  <c r="J28" i="15"/>
  <c r="C29" i="15"/>
  <c r="D29" i="15"/>
  <c r="E29" i="15"/>
  <c r="F29" i="15"/>
  <c r="H29" i="15"/>
  <c r="I29" i="15"/>
  <c r="J29" i="15"/>
  <c r="C30" i="15"/>
  <c r="D30" i="15"/>
  <c r="E30" i="15"/>
  <c r="F30" i="15"/>
  <c r="H30" i="15"/>
  <c r="I30" i="15"/>
  <c r="J30" i="15"/>
  <c r="C31" i="15"/>
  <c r="D31" i="15"/>
  <c r="E31" i="15"/>
  <c r="F31" i="15"/>
  <c r="H31" i="15"/>
  <c r="I31" i="15"/>
  <c r="J31" i="15"/>
  <c r="C32" i="15"/>
  <c r="D32" i="15"/>
  <c r="E32" i="15"/>
  <c r="F32" i="15"/>
  <c r="H32" i="15"/>
  <c r="I32" i="15"/>
  <c r="J32" i="15"/>
  <c r="C33" i="15"/>
  <c r="D33" i="15"/>
  <c r="E33" i="15"/>
  <c r="F33" i="15"/>
  <c r="H33" i="15"/>
  <c r="I33" i="15"/>
  <c r="J33" i="15"/>
  <c r="C34" i="15"/>
  <c r="D34" i="15"/>
  <c r="E34" i="15"/>
  <c r="F34" i="15"/>
  <c r="H34" i="15"/>
  <c r="I34" i="15"/>
  <c r="J34" i="15"/>
  <c r="C35" i="15"/>
  <c r="D35" i="15"/>
  <c r="E35" i="15"/>
  <c r="F35" i="15"/>
  <c r="H35" i="15"/>
  <c r="I35" i="15"/>
  <c r="J35" i="15"/>
  <c r="C36" i="15"/>
  <c r="D36" i="15"/>
  <c r="E36" i="15"/>
  <c r="F36" i="15"/>
  <c r="H36" i="15"/>
  <c r="I36" i="15"/>
  <c r="J36" i="15"/>
  <c r="C37" i="15"/>
  <c r="D37" i="15"/>
  <c r="E37" i="15"/>
  <c r="F37" i="15"/>
  <c r="H37" i="15"/>
  <c r="I37" i="15"/>
  <c r="J37" i="15"/>
  <c r="C38" i="15"/>
  <c r="D38" i="15"/>
  <c r="E38" i="15"/>
  <c r="F38" i="15"/>
  <c r="H38" i="15"/>
  <c r="I38" i="15"/>
  <c r="J38" i="15"/>
  <c r="K25" i="15"/>
  <c r="J25" i="15"/>
  <c r="H25" i="15"/>
  <c r="F25" i="15"/>
  <c r="E25" i="15"/>
  <c r="D25" i="15"/>
  <c r="I25" i="15"/>
  <c r="C25" i="15" l="1"/>
  <c r="O21" i="3" l="1"/>
  <c r="N21" i="3"/>
  <c r="N20" i="3"/>
  <c r="M21" i="3"/>
  <c r="M20" i="3"/>
  <c r="D6" i="3" l="1"/>
  <c r="R12" i="15" l="1"/>
  <c r="R13" i="15"/>
  <c r="R16" i="15"/>
  <c r="R8" i="15"/>
  <c r="R18" i="15"/>
  <c r="R17" i="15"/>
  <c r="R15" i="15"/>
  <c r="R14" i="15"/>
  <c r="R11" i="15"/>
  <c r="R10" i="15"/>
  <c r="R9" i="15"/>
  <c r="R7" i="15"/>
  <c r="R19" i="15"/>
  <c r="R6" i="15"/>
  <c r="P6" i="3" s="1"/>
  <c r="H14" i="20" l="1"/>
  <c r="P14" i="3"/>
  <c r="H8" i="20"/>
  <c r="P8" i="3"/>
  <c r="H9" i="20"/>
  <c r="P9" i="3"/>
  <c r="H15" i="20"/>
  <c r="P15" i="3"/>
  <c r="H16" i="20"/>
  <c r="P16" i="3"/>
  <c r="H7" i="20"/>
  <c r="P7" i="3"/>
  <c r="H17" i="20"/>
  <c r="P17" i="3"/>
  <c r="H13" i="20"/>
  <c r="P13" i="3"/>
  <c r="H10" i="20"/>
  <c r="P10" i="3"/>
  <c r="H19" i="20"/>
  <c r="P19" i="3"/>
  <c r="H11" i="20"/>
  <c r="P11" i="3"/>
  <c r="H18" i="20"/>
  <c r="P18" i="3"/>
  <c r="H12" i="20"/>
  <c r="P12" i="3"/>
  <c r="H6" i="20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25" i="14"/>
  <c r="P20" i="3" l="1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25" i="14"/>
  <c r="P22" i="3" l="1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25" i="14"/>
  <c r="C26" i="14"/>
  <c r="D26" i="14"/>
  <c r="C27" i="14"/>
  <c r="D27" i="14"/>
  <c r="C28" i="14"/>
  <c r="D28" i="14"/>
  <c r="C29" i="14"/>
  <c r="D29" i="14"/>
  <c r="C30" i="14"/>
  <c r="D30" i="14"/>
  <c r="C31" i="14"/>
  <c r="D31" i="14"/>
  <c r="C32" i="14"/>
  <c r="D32" i="14"/>
  <c r="C33" i="14"/>
  <c r="D33" i="14"/>
  <c r="C34" i="14"/>
  <c r="D34" i="14"/>
  <c r="C35" i="14"/>
  <c r="D35" i="14"/>
  <c r="C36" i="14"/>
  <c r="D36" i="14"/>
  <c r="C37" i="14"/>
  <c r="D37" i="14"/>
  <c r="C38" i="14"/>
  <c r="D38" i="14"/>
  <c r="S19" i="14" s="1"/>
  <c r="D25" i="14"/>
  <c r="C25" i="14"/>
  <c r="S12" i="14" l="1"/>
  <c r="O12" i="3" s="1"/>
  <c r="S11" i="14"/>
  <c r="O11" i="3" s="1"/>
  <c r="S16" i="14"/>
  <c r="O16" i="3" s="1"/>
  <c r="S7" i="14"/>
  <c r="O7" i="3" s="1"/>
  <c r="S8" i="14"/>
  <c r="O8" i="3" s="1"/>
  <c r="S15" i="14"/>
  <c r="O15" i="3" s="1"/>
  <c r="G19" i="20"/>
  <c r="O19" i="3"/>
  <c r="S18" i="14"/>
  <c r="O18" i="3" s="1"/>
  <c r="S14" i="14"/>
  <c r="O14" i="3" s="1"/>
  <c r="S10" i="14"/>
  <c r="O10" i="3" s="1"/>
  <c r="S17" i="14"/>
  <c r="O17" i="3" s="1"/>
  <c r="S13" i="14"/>
  <c r="O13" i="3" s="1"/>
  <c r="S9" i="14"/>
  <c r="O9" i="3" s="1"/>
  <c r="S6" i="14"/>
  <c r="O6" i="3" s="1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25" i="13"/>
  <c r="O20" i="3" l="1"/>
  <c r="O22" i="3" s="1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25" i="13"/>
  <c r="O26" i="13" l="1"/>
  <c r="O27" i="13"/>
  <c r="O28" i="13"/>
  <c r="O29" i="13"/>
  <c r="O30" i="13"/>
  <c r="O31" i="13"/>
  <c r="O32" i="13"/>
  <c r="O33" i="13"/>
  <c r="O34" i="13"/>
  <c r="O35" i="13"/>
  <c r="O36" i="13"/>
  <c r="O37" i="13"/>
  <c r="O38" i="13"/>
  <c r="O25" i="13"/>
  <c r="M26" i="13" l="1"/>
  <c r="N26" i="13"/>
  <c r="M27" i="13"/>
  <c r="N27" i="13"/>
  <c r="M28" i="13"/>
  <c r="N28" i="13"/>
  <c r="M29" i="13"/>
  <c r="N29" i="13"/>
  <c r="M30" i="13"/>
  <c r="N30" i="13"/>
  <c r="M31" i="13"/>
  <c r="N31" i="13"/>
  <c r="M32" i="13"/>
  <c r="N32" i="13"/>
  <c r="M33" i="13"/>
  <c r="N33" i="13"/>
  <c r="M34" i="13"/>
  <c r="N34" i="13"/>
  <c r="M35" i="13"/>
  <c r="N35" i="13"/>
  <c r="M36" i="13"/>
  <c r="N36" i="13"/>
  <c r="M37" i="13"/>
  <c r="N37" i="13"/>
  <c r="M38" i="13"/>
  <c r="N38" i="13"/>
  <c r="N25" i="13"/>
  <c r="M25" i="13"/>
  <c r="D26" i="13"/>
  <c r="E26" i="13"/>
  <c r="F26" i="13"/>
  <c r="G26" i="13"/>
  <c r="H26" i="13"/>
  <c r="I26" i="13"/>
  <c r="K26" i="13"/>
  <c r="D27" i="13"/>
  <c r="E27" i="13"/>
  <c r="F27" i="13"/>
  <c r="G27" i="13"/>
  <c r="H27" i="13"/>
  <c r="I27" i="13"/>
  <c r="K27" i="13"/>
  <c r="D28" i="13"/>
  <c r="E28" i="13"/>
  <c r="F28" i="13"/>
  <c r="G28" i="13"/>
  <c r="H28" i="13"/>
  <c r="I28" i="13"/>
  <c r="K28" i="13"/>
  <c r="D29" i="13"/>
  <c r="E29" i="13"/>
  <c r="F29" i="13"/>
  <c r="G29" i="13"/>
  <c r="H29" i="13"/>
  <c r="I29" i="13"/>
  <c r="K29" i="13"/>
  <c r="D30" i="13"/>
  <c r="E30" i="13"/>
  <c r="F30" i="13"/>
  <c r="G30" i="13"/>
  <c r="H30" i="13"/>
  <c r="I30" i="13"/>
  <c r="K30" i="13"/>
  <c r="D31" i="13"/>
  <c r="E31" i="13"/>
  <c r="F31" i="13"/>
  <c r="G31" i="13"/>
  <c r="H31" i="13"/>
  <c r="I31" i="13"/>
  <c r="K31" i="13"/>
  <c r="D32" i="13"/>
  <c r="E32" i="13"/>
  <c r="F32" i="13"/>
  <c r="G32" i="13"/>
  <c r="H32" i="13"/>
  <c r="I32" i="13"/>
  <c r="K32" i="13"/>
  <c r="D33" i="13"/>
  <c r="E33" i="13"/>
  <c r="F33" i="13"/>
  <c r="G33" i="13"/>
  <c r="H33" i="13"/>
  <c r="I33" i="13"/>
  <c r="K33" i="13"/>
  <c r="D34" i="13"/>
  <c r="E34" i="13"/>
  <c r="F34" i="13"/>
  <c r="G34" i="13"/>
  <c r="H34" i="13"/>
  <c r="I34" i="13"/>
  <c r="K34" i="13"/>
  <c r="D35" i="13"/>
  <c r="E35" i="13"/>
  <c r="F35" i="13"/>
  <c r="G35" i="13"/>
  <c r="H35" i="13"/>
  <c r="I35" i="13"/>
  <c r="K35" i="13"/>
  <c r="D36" i="13"/>
  <c r="E36" i="13"/>
  <c r="F36" i="13"/>
  <c r="G36" i="13"/>
  <c r="H36" i="13"/>
  <c r="I36" i="13"/>
  <c r="K36" i="13"/>
  <c r="D37" i="13"/>
  <c r="E37" i="13"/>
  <c r="F37" i="13"/>
  <c r="G37" i="13"/>
  <c r="H37" i="13"/>
  <c r="I37" i="13"/>
  <c r="K37" i="13"/>
  <c r="D38" i="13"/>
  <c r="E38" i="13"/>
  <c r="F38" i="13"/>
  <c r="G38" i="13"/>
  <c r="H38" i="13"/>
  <c r="I38" i="13"/>
  <c r="K38" i="13"/>
  <c r="K25" i="13"/>
  <c r="I25" i="13"/>
  <c r="H25" i="13"/>
  <c r="G25" i="13"/>
  <c r="F25" i="13"/>
  <c r="E25" i="13"/>
  <c r="D25" i="13"/>
  <c r="C27" i="13" l="1"/>
  <c r="C28" i="13"/>
  <c r="C29" i="13"/>
  <c r="C30" i="13"/>
  <c r="C31" i="13"/>
  <c r="C32" i="13"/>
  <c r="C33" i="13"/>
  <c r="C34" i="13"/>
  <c r="C35" i="13"/>
  <c r="C36" i="13"/>
  <c r="C37" i="13"/>
  <c r="C38" i="13"/>
  <c r="C26" i="13"/>
  <c r="C25" i="13" l="1"/>
  <c r="N7" i="20" l="1"/>
  <c r="N8" i="20"/>
  <c r="N9" i="20"/>
  <c r="N12" i="20"/>
  <c r="N18" i="20"/>
  <c r="F25" i="12" l="1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P26" i="12" l="1"/>
  <c r="P27" i="12"/>
  <c r="P28" i="12"/>
  <c r="P29" i="12"/>
  <c r="P30" i="12"/>
  <c r="P31" i="12"/>
  <c r="P32" i="12"/>
  <c r="P33" i="12"/>
  <c r="P34" i="12"/>
  <c r="P35" i="12"/>
  <c r="P36" i="12"/>
  <c r="P37" i="12"/>
  <c r="P38" i="12"/>
  <c r="P25" i="12"/>
  <c r="G26" i="12" l="1"/>
  <c r="G27" i="12"/>
  <c r="G28" i="12"/>
  <c r="G29" i="12"/>
  <c r="G30" i="12"/>
  <c r="G31" i="12"/>
  <c r="G32" i="12"/>
  <c r="G33" i="12"/>
  <c r="G34" i="12"/>
  <c r="G35" i="12"/>
  <c r="G36" i="12"/>
  <c r="G37" i="12"/>
  <c r="G38" i="12"/>
  <c r="G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25" i="12"/>
  <c r="E25" i="12"/>
  <c r="C26" i="12" l="1"/>
  <c r="C27" i="12"/>
  <c r="C28" i="12"/>
  <c r="C29" i="12"/>
  <c r="C30" i="12"/>
  <c r="C31" i="12"/>
  <c r="C32" i="12"/>
  <c r="C33" i="12"/>
  <c r="C34" i="12"/>
  <c r="C35" i="12"/>
  <c r="C36" i="12"/>
  <c r="C37" i="12"/>
  <c r="C38" i="12"/>
  <c r="C25" i="12"/>
  <c r="S20" i="20" l="1"/>
  <c r="P6" i="20" l="1"/>
  <c r="P5" i="20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25" i="11"/>
  <c r="N26" i="11" l="1"/>
  <c r="N27" i="11"/>
  <c r="N28" i="11"/>
  <c r="N29" i="11"/>
  <c r="N30" i="11"/>
  <c r="N31" i="11"/>
  <c r="N32" i="11"/>
  <c r="N33" i="11"/>
  <c r="N34" i="11"/>
  <c r="N35" i="11"/>
  <c r="N36" i="11"/>
  <c r="N37" i="11"/>
  <c r="N38" i="11"/>
  <c r="N25" i="11"/>
  <c r="L25" i="11" l="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D25" i="11"/>
  <c r="E25" i="11"/>
  <c r="F25" i="11"/>
  <c r="G25" i="11"/>
  <c r="H25" i="11"/>
  <c r="I25" i="11"/>
  <c r="J25" i="11"/>
  <c r="K25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D26" i="11"/>
  <c r="D27" i="11"/>
  <c r="D28" i="11"/>
  <c r="D30" i="11"/>
  <c r="D31" i="11"/>
  <c r="D32" i="11"/>
  <c r="D33" i="11"/>
  <c r="D34" i="11"/>
  <c r="D35" i="11"/>
  <c r="D36" i="11"/>
  <c r="D37" i="11"/>
  <c r="D38" i="11"/>
  <c r="C21" i="4" l="1"/>
  <c r="C22" i="4"/>
  <c r="C23" i="4"/>
  <c r="C24" i="4"/>
  <c r="C25" i="4"/>
  <c r="C26" i="4"/>
  <c r="C27" i="4"/>
  <c r="C28" i="4"/>
  <c r="C29" i="4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25" i="11"/>
  <c r="S19" i="17" l="1"/>
  <c r="S17" i="17"/>
  <c r="S16" i="17"/>
  <c r="S15" i="17"/>
  <c r="S14" i="17"/>
  <c r="S11" i="17"/>
  <c r="S9" i="17"/>
  <c r="S8" i="17"/>
  <c r="S7" i="17"/>
  <c r="G15" i="20"/>
  <c r="G11" i="20"/>
  <c r="S18" i="13"/>
  <c r="S17" i="13"/>
  <c r="S16" i="13"/>
  <c r="S15" i="13"/>
  <c r="S15" i="11"/>
  <c r="S16" i="11"/>
  <c r="D16" i="20" s="1"/>
  <c r="S17" i="11"/>
  <c r="S19" i="11"/>
  <c r="S14" i="18" l="1"/>
  <c r="R8" i="3"/>
  <c r="J8" i="20"/>
  <c r="R16" i="3"/>
  <c r="J16" i="20"/>
  <c r="R19" i="3"/>
  <c r="J19" i="20"/>
  <c r="J17" i="20"/>
  <c r="R17" i="3"/>
  <c r="R7" i="3"/>
  <c r="J7" i="20"/>
  <c r="R15" i="3"/>
  <c r="J15" i="20"/>
  <c r="R11" i="3"/>
  <c r="J11" i="20"/>
  <c r="J9" i="20"/>
  <c r="R9" i="3"/>
  <c r="J14" i="20"/>
  <c r="R14" i="3"/>
  <c r="S12" i="17"/>
  <c r="S10" i="17"/>
  <c r="S18" i="17"/>
  <c r="S13" i="17"/>
  <c r="S6" i="17"/>
  <c r="G7" i="20"/>
  <c r="G17" i="20"/>
  <c r="G13" i="20"/>
  <c r="G9" i="20"/>
  <c r="F15" i="20"/>
  <c r="N15" i="3"/>
  <c r="N18" i="3"/>
  <c r="F18" i="20"/>
  <c r="F16" i="20"/>
  <c r="N16" i="3"/>
  <c r="N17" i="3"/>
  <c r="F17" i="20"/>
  <c r="S19" i="13"/>
  <c r="G8" i="20"/>
  <c r="G10" i="20"/>
  <c r="G12" i="20"/>
  <c r="G14" i="20"/>
  <c r="G16" i="20"/>
  <c r="G18" i="20"/>
  <c r="S19" i="12"/>
  <c r="S16" i="12"/>
  <c r="S15" i="12"/>
  <c r="S18" i="12"/>
  <c r="S17" i="12"/>
  <c r="S18" i="11"/>
  <c r="D18" i="20" s="1"/>
  <c r="L19" i="3"/>
  <c r="D19" i="20"/>
  <c r="L17" i="3"/>
  <c r="D17" i="20"/>
  <c r="L18" i="3"/>
  <c r="D15" i="20"/>
  <c r="L15" i="3"/>
  <c r="L16" i="3"/>
  <c r="K14" i="20" l="1"/>
  <c r="S14" i="3"/>
  <c r="S20" i="3" s="1"/>
  <c r="S22" i="3" s="1"/>
  <c r="R12" i="3"/>
  <c r="J12" i="20"/>
  <c r="J10" i="20"/>
  <c r="R10" i="3"/>
  <c r="R13" i="3"/>
  <c r="J13" i="20"/>
  <c r="J18" i="20"/>
  <c r="R18" i="3"/>
  <c r="J6" i="20"/>
  <c r="R6" i="3"/>
  <c r="F19" i="20"/>
  <c r="N19" i="3"/>
  <c r="E15" i="20"/>
  <c r="M15" i="3"/>
  <c r="U15" i="3" s="1"/>
  <c r="E17" i="20"/>
  <c r="M17" i="3"/>
  <c r="U17" i="3" s="1"/>
  <c r="E18" i="20"/>
  <c r="M18" i="20" s="1"/>
  <c r="M18" i="3"/>
  <c r="U18" i="3" s="1"/>
  <c r="E16" i="20"/>
  <c r="M16" i="3"/>
  <c r="U16" i="3" s="1"/>
  <c r="E19" i="20"/>
  <c r="M19" i="3"/>
  <c r="O21" i="10"/>
  <c r="O22" i="10"/>
  <c r="O23" i="10"/>
  <c r="O24" i="10"/>
  <c r="O25" i="10"/>
  <c r="O26" i="10"/>
  <c r="O27" i="10"/>
  <c r="O28" i="10"/>
  <c r="O20" i="10"/>
  <c r="R20" i="3" l="1"/>
  <c r="R22" i="3" s="1"/>
  <c r="D24" i="3"/>
  <c r="U19" i="3"/>
  <c r="M19" i="20"/>
  <c r="K21" i="3"/>
  <c r="N21" i="10"/>
  <c r="N22" i="10"/>
  <c r="N23" i="10"/>
  <c r="N24" i="10"/>
  <c r="N25" i="10"/>
  <c r="N26" i="10"/>
  <c r="N27" i="10"/>
  <c r="N28" i="10"/>
  <c r="N20" i="10"/>
  <c r="L21" i="10"/>
  <c r="L22" i="10"/>
  <c r="L23" i="10"/>
  <c r="L24" i="10"/>
  <c r="L25" i="10"/>
  <c r="L26" i="10"/>
  <c r="L27" i="10"/>
  <c r="L28" i="10"/>
  <c r="L20" i="10"/>
  <c r="F21" i="10"/>
  <c r="F22" i="10"/>
  <c r="F23" i="10"/>
  <c r="F24" i="10"/>
  <c r="F25" i="10"/>
  <c r="F26" i="10"/>
  <c r="F27" i="10"/>
  <c r="F28" i="10"/>
  <c r="F20" i="10"/>
  <c r="J21" i="10"/>
  <c r="J22" i="10"/>
  <c r="J23" i="10"/>
  <c r="J24" i="10"/>
  <c r="J25" i="10"/>
  <c r="J26" i="10"/>
  <c r="J27" i="10"/>
  <c r="J28" i="10"/>
  <c r="J20" i="10"/>
  <c r="G21" i="10"/>
  <c r="G22" i="10"/>
  <c r="G23" i="10"/>
  <c r="G24" i="10"/>
  <c r="G25" i="10"/>
  <c r="G26" i="10"/>
  <c r="G27" i="10"/>
  <c r="G28" i="10"/>
  <c r="G20" i="10"/>
  <c r="I21" i="10"/>
  <c r="I22" i="10"/>
  <c r="I23" i="10"/>
  <c r="I24" i="10"/>
  <c r="I25" i="10"/>
  <c r="I26" i="10"/>
  <c r="I27" i="10"/>
  <c r="I28" i="10"/>
  <c r="I20" i="10"/>
  <c r="M21" i="10"/>
  <c r="M22" i="10"/>
  <c r="M23" i="10"/>
  <c r="M24" i="10"/>
  <c r="M25" i="10"/>
  <c r="M26" i="10"/>
  <c r="M27" i="10"/>
  <c r="M28" i="10"/>
  <c r="M20" i="10"/>
  <c r="K21" i="10"/>
  <c r="K22" i="10"/>
  <c r="K23" i="10"/>
  <c r="K24" i="10"/>
  <c r="K25" i="10"/>
  <c r="K26" i="10"/>
  <c r="K27" i="10"/>
  <c r="K28" i="10"/>
  <c r="K20" i="10"/>
  <c r="H21" i="10"/>
  <c r="H22" i="10"/>
  <c r="H23" i="10"/>
  <c r="H24" i="10"/>
  <c r="H25" i="10"/>
  <c r="H26" i="10"/>
  <c r="H27" i="10"/>
  <c r="H28" i="10"/>
  <c r="H20" i="10"/>
  <c r="D21" i="10"/>
  <c r="D22" i="10"/>
  <c r="D23" i="10"/>
  <c r="D24" i="10"/>
  <c r="D25" i="10"/>
  <c r="D26" i="10"/>
  <c r="D27" i="10"/>
  <c r="D28" i="10"/>
  <c r="D20" i="10"/>
  <c r="E21" i="10"/>
  <c r="E22" i="10"/>
  <c r="E23" i="10"/>
  <c r="E24" i="10"/>
  <c r="E25" i="10"/>
  <c r="E26" i="10"/>
  <c r="E27" i="10"/>
  <c r="E28" i="10"/>
  <c r="E20" i="10"/>
  <c r="C21" i="10"/>
  <c r="C22" i="10"/>
  <c r="C23" i="10"/>
  <c r="C24" i="10"/>
  <c r="C25" i="10"/>
  <c r="C26" i="10"/>
  <c r="C27" i="10"/>
  <c r="C28" i="10"/>
  <c r="C20" i="10"/>
  <c r="M17" i="20" l="1"/>
  <c r="M16" i="20"/>
  <c r="Q21" i="9"/>
  <c r="Q22" i="9"/>
  <c r="Q23" i="9"/>
  <c r="Q24" i="9"/>
  <c r="Q25" i="9"/>
  <c r="Q26" i="9"/>
  <c r="Q27" i="9"/>
  <c r="Q28" i="9"/>
  <c r="Q20" i="9"/>
  <c r="P21" i="9"/>
  <c r="P22" i="9"/>
  <c r="P23" i="9"/>
  <c r="P24" i="9"/>
  <c r="P25" i="9"/>
  <c r="P26" i="9"/>
  <c r="P27" i="9"/>
  <c r="P28" i="9"/>
  <c r="P20" i="9"/>
  <c r="N21" i="9" l="1"/>
  <c r="N22" i="9"/>
  <c r="N23" i="9"/>
  <c r="N24" i="9"/>
  <c r="N25" i="9"/>
  <c r="N26" i="9"/>
  <c r="N27" i="9"/>
  <c r="N28" i="9"/>
  <c r="N20" i="9"/>
  <c r="O21" i="9"/>
  <c r="O22" i="9"/>
  <c r="O23" i="9"/>
  <c r="O24" i="9"/>
  <c r="O25" i="9"/>
  <c r="O26" i="9"/>
  <c r="O27" i="9"/>
  <c r="O28" i="9"/>
  <c r="O20" i="9"/>
  <c r="M21" i="9"/>
  <c r="M22" i="9"/>
  <c r="M23" i="9"/>
  <c r="M24" i="9"/>
  <c r="M25" i="9"/>
  <c r="M26" i="9"/>
  <c r="M27" i="9"/>
  <c r="M28" i="9"/>
  <c r="M20" i="9"/>
  <c r="K21" i="9"/>
  <c r="K22" i="9"/>
  <c r="K23" i="9"/>
  <c r="K24" i="9"/>
  <c r="K25" i="9"/>
  <c r="K26" i="9"/>
  <c r="K27" i="9"/>
  <c r="K28" i="9"/>
  <c r="K20" i="9"/>
  <c r="J21" i="9"/>
  <c r="J22" i="9"/>
  <c r="J23" i="9"/>
  <c r="J24" i="9"/>
  <c r="J25" i="9"/>
  <c r="J26" i="9"/>
  <c r="J27" i="9"/>
  <c r="J28" i="9"/>
  <c r="J20" i="9"/>
  <c r="I21" i="9"/>
  <c r="I22" i="9"/>
  <c r="I23" i="9"/>
  <c r="I24" i="9"/>
  <c r="I25" i="9"/>
  <c r="I26" i="9"/>
  <c r="I27" i="9"/>
  <c r="I28" i="9"/>
  <c r="I20" i="9"/>
  <c r="H21" i="9"/>
  <c r="H22" i="9"/>
  <c r="H23" i="9"/>
  <c r="H24" i="9"/>
  <c r="H25" i="9"/>
  <c r="H26" i="9"/>
  <c r="H27" i="9"/>
  <c r="H28" i="9"/>
  <c r="H20" i="9"/>
  <c r="F21" i="9"/>
  <c r="F22" i="9"/>
  <c r="F23" i="9"/>
  <c r="F24" i="9"/>
  <c r="F25" i="9"/>
  <c r="F26" i="9"/>
  <c r="F27" i="9"/>
  <c r="F28" i="9"/>
  <c r="F20" i="9"/>
  <c r="E21" i="9"/>
  <c r="E22" i="9"/>
  <c r="E23" i="9"/>
  <c r="E24" i="9"/>
  <c r="E25" i="9"/>
  <c r="E26" i="9"/>
  <c r="E27" i="9"/>
  <c r="E28" i="9"/>
  <c r="E20" i="9"/>
  <c r="G21" i="9"/>
  <c r="G22" i="9"/>
  <c r="G23" i="9"/>
  <c r="G24" i="9"/>
  <c r="G25" i="9"/>
  <c r="G26" i="9"/>
  <c r="G27" i="9"/>
  <c r="G28" i="9"/>
  <c r="G20" i="9"/>
  <c r="L21" i="9"/>
  <c r="L22" i="9"/>
  <c r="L23" i="9"/>
  <c r="L24" i="9"/>
  <c r="L25" i="9"/>
  <c r="L26" i="9"/>
  <c r="L27" i="9"/>
  <c r="L28" i="9"/>
  <c r="L20" i="9"/>
  <c r="D21" i="9"/>
  <c r="D22" i="9"/>
  <c r="D23" i="9"/>
  <c r="D24" i="9"/>
  <c r="D25" i="9"/>
  <c r="D26" i="9"/>
  <c r="D27" i="9"/>
  <c r="D28" i="9"/>
  <c r="D20" i="9"/>
  <c r="H21" i="3" l="1"/>
  <c r="G21" i="3"/>
  <c r="E21" i="3"/>
  <c r="F21" i="3"/>
  <c r="D21" i="3"/>
  <c r="C21" i="9" l="1"/>
  <c r="C22" i="9"/>
  <c r="C23" i="9"/>
  <c r="C24" i="9"/>
  <c r="C25" i="9"/>
  <c r="C26" i="9"/>
  <c r="C27" i="9"/>
  <c r="C28" i="9"/>
  <c r="C20" i="9"/>
  <c r="Q21" i="8" l="1"/>
  <c r="Q22" i="8"/>
  <c r="Q23" i="8"/>
  <c r="Q24" i="8"/>
  <c r="Q25" i="8"/>
  <c r="Q26" i="8"/>
  <c r="Q27" i="8"/>
  <c r="Q28" i="8"/>
  <c r="Q20" i="8"/>
  <c r="P21" i="8" l="1"/>
  <c r="P22" i="8"/>
  <c r="P23" i="8"/>
  <c r="P24" i="8"/>
  <c r="P25" i="8"/>
  <c r="P26" i="8"/>
  <c r="P27" i="8"/>
  <c r="P28" i="8"/>
  <c r="P20" i="8"/>
  <c r="O21" i="8"/>
  <c r="O22" i="8"/>
  <c r="O23" i="8"/>
  <c r="O24" i="8"/>
  <c r="O25" i="8"/>
  <c r="O26" i="8"/>
  <c r="O27" i="8"/>
  <c r="O28" i="8"/>
  <c r="O20" i="8"/>
  <c r="N21" i="8"/>
  <c r="N22" i="8"/>
  <c r="N23" i="8"/>
  <c r="N24" i="8"/>
  <c r="N25" i="8"/>
  <c r="N26" i="8"/>
  <c r="N27" i="8"/>
  <c r="N28" i="8"/>
  <c r="N20" i="8"/>
  <c r="M21" i="8"/>
  <c r="M22" i="8"/>
  <c r="M23" i="8"/>
  <c r="M24" i="8"/>
  <c r="M25" i="8"/>
  <c r="M26" i="8"/>
  <c r="M27" i="8"/>
  <c r="M28" i="8"/>
  <c r="M20" i="8"/>
  <c r="L21" i="8"/>
  <c r="L22" i="8"/>
  <c r="L23" i="8"/>
  <c r="L24" i="8"/>
  <c r="L25" i="8"/>
  <c r="L26" i="8"/>
  <c r="L27" i="8"/>
  <c r="L28" i="8"/>
  <c r="L20" i="8"/>
  <c r="K21" i="8"/>
  <c r="K22" i="8"/>
  <c r="K23" i="8"/>
  <c r="K24" i="8"/>
  <c r="K25" i="8"/>
  <c r="K26" i="8"/>
  <c r="K27" i="8"/>
  <c r="K28" i="8"/>
  <c r="K20" i="8"/>
  <c r="J21" i="8"/>
  <c r="J22" i="8"/>
  <c r="J23" i="8"/>
  <c r="J24" i="8"/>
  <c r="J25" i="8"/>
  <c r="J26" i="8"/>
  <c r="J27" i="8"/>
  <c r="J28" i="8"/>
  <c r="J20" i="8"/>
  <c r="I21" i="8"/>
  <c r="I22" i="8"/>
  <c r="I23" i="8"/>
  <c r="I24" i="8"/>
  <c r="I25" i="8"/>
  <c r="I26" i="8"/>
  <c r="I27" i="8"/>
  <c r="I28" i="8"/>
  <c r="I20" i="8"/>
  <c r="H21" i="8"/>
  <c r="H22" i="8"/>
  <c r="H23" i="8"/>
  <c r="H24" i="8"/>
  <c r="H25" i="8"/>
  <c r="H26" i="8"/>
  <c r="H27" i="8"/>
  <c r="H28" i="8"/>
  <c r="H20" i="8"/>
  <c r="G21" i="8"/>
  <c r="G22" i="8"/>
  <c r="G23" i="8"/>
  <c r="G24" i="8"/>
  <c r="G25" i="8"/>
  <c r="G26" i="8"/>
  <c r="G27" i="8"/>
  <c r="G28" i="8"/>
  <c r="G20" i="8"/>
  <c r="F21" i="8"/>
  <c r="F22" i="8"/>
  <c r="F23" i="8"/>
  <c r="F24" i="8"/>
  <c r="F25" i="8"/>
  <c r="F26" i="8"/>
  <c r="F27" i="8"/>
  <c r="F28" i="8"/>
  <c r="F20" i="8"/>
  <c r="E21" i="8"/>
  <c r="E22" i="8"/>
  <c r="E23" i="8"/>
  <c r="E24" i="8"/>
  <c r="E25" i="8"/>
  <c r="E26" i="8"/>
  <c r="E27" i="8"/>
  <c r="E28" i="8"/>
  <c r="E20" i="8"/>
  <c r="D21" i="8"/>
  <c r="D22" i="8"/>
  <c r="D23" i="8"/>
  <c r="D24" i="8"/>
  <c r="D25" i="8"/>
  <c r="D26" i="8"/>
  <c r="D27" i="8"/>
  <c r="D28" i="8"/>
  <c r="D20" i="8"/>
  <c r="C21" i="8" l="1"/>
  <c r="C22" i="8"/>
  <c r="C23" i="8"/>
  <c r="C24" i="8"/>
  <c r="C25" i="8"/>
  <c r="C26" i="8"/>
  <c r="C27" i="8"/>
  <c r="C28" i="8"/>
  <c r="C20" i="8"/>
  <c r="G6" i="20" l="1"/>
  <c r="P21" i="7"/>
  <c r="P22" i="7"/>
  <c r="P23" i="7"/>
  <c r="P24" i="7"/>
  <c r="P25" i="7"/>
  <c r="P26" i="7"/>
  <c r="P27" i="7"/>
  <c r="P28" i="7"/>
  <c r="P20" i="7"/>
  <c r="O21" i="7" l="1"/>
  <c r="O22" i="7"/>
  <c r="O23" i="7"/>
  <c r="O24" i="7"/>
  <c r="O25" i="7"/>
  <c r="O26" i="7"/>
  <c r="O27" i="7"/>
  <c r="O28" i="7"/>
  <c r="O20" i="7"/>
  <c r="N21" i="7" l="1"/>
  <c r="N22" i="7"/>
  <c r="N23" i="7"/>
  <c r="N24" i="7"/>
  <c r="N25" i="7"/>
  <c r="N26" i="7"/>
  <c r="N27" i="7"/>
  <c r="N28" i="7"/>
  <c r="N20" i="7"/>
  <c r="M21" i="7"/>
  <c r="M22" i="7"/>
  <c r="M23" i="7"/>
  <c r="M24" i="7"/>
  <c r="M25" i="7"/>
  <c r="M26" i="7"/>
  <c r="M27" i="7"/>
  <c r="M28" i="7"/>
  <c r="M20" i="7"/>
  <c r="L21" i="7"/>
  <c r="L22" i="7"/>
  <c r="L23" i="7"/>
  <c r="L24" i="7"/>
  <c r="L25" i="7"/>
  <c r="L26" i="7"/>
  <c r="L27" i="7"/>
  <c r="L28" i="7"/>
  <c r="L20" i="7"/>
  <c r="K21" i="7"/>
  <c r="K22" i="7"/>
  <c r="K23" i="7"/>
  <c r="K24" i="7"/>
  <c r="K25" i="7"/>
  <c r="K26" i="7"/>
  <c r="K27" i="7"/>
  <c r="K28" i="7"/>
  <c r="K20" i="7"/>
  <c r="J21" i="7"/>
  <c r="J22" i="7"/>
  <c r="J23" i="7"/>
  <c r="J24" i="7"/>
  <c r="J25" i="7"/>
  <c r="J26" i="7"/>
  <c r="J27" i="7"/>
  <c r="J28" i="7"/>
  <c r="J20" i="7"/>
  <c r="I21" i="7"/>
  <c r="I22" i="7"/>
  <c r="I23" i="7"/>
  <c r="I24" i="7"/>
  <c r="I25" i="7"/>
  <c r="I26" i="7"/>
  <c r="I27" i="7"/>
  <c r="I28" i="7"/>
  <c r="I20" i="7"/>
  <c r="H21" i="7"/>
  <c r="H22" i="7"/>
  <c r="H23" i="7"/>
  <c r="H24" i="7"/>
  <c r="H25" i="7"/>
  <c r="H26" i="7"/>
  <c r="H27" i="7"/>
  <c r="H28" i="7"/>
  <c r="H20" i="7"/>
  <c r="G21" i="7"/>
  <c r="G22" i="7"/>
  <c r="G23" i="7"/>
  <c r="G24" i="7"/>
  <c r="G25" i="7"/>
  <c r="G26" i="7"/>
  <c r="G27" i="7"/>
  <c r="G28" i="7"/>
  <c r="G20" i="7"/>
  <c r="F21" i="7"/>
  <c r="F22" i="7"/>
  <c r="F23" i="7"/>
  <c r="F24" i="7"/>
  <c r="F25" i="7"/>
  <c r="F26" i="7"/>
  <c r="F27" i="7"/>
  <c r="F28" i="7"/>
  <c r="F20" i="7"/>
  <c r="E21" i="7"/>
  <c r="E22" i="7"/>
  <c r="E23" i="7"/>
  <c r="E24" i="7"/>
  <c r="E25" i="7"/>
  <c r="E26" i="7"/>
  <c r="E27" i="7"/>
  <c r="E28" i="7"/>
  <c r="E20" i="7"/>
  <c r="D21" i="7"/>
  <c r="D22" i="7"/>
  <c r="D23" i="7"/>
  <c r="D24" i="7"/>
  <c r="D25" i="7"/>
  <c r="D26" i="7"/>
  <c r="D27" i="7"/>
  <c r="D28" i="7"/>
  <c r="D20" i="7"/>
  <c r="S13" i="13" l="1"/>
  <c r="N13" i="3" s="1"/>
  <c r="S9" i="13"/>
  <c r="N9" i="3" s="1"/>
  <c r="S14" i="12"/>
  <c r="M14" i="3" s="1"/>
  <c r="S12" i="12"/>
  <c r="M12" i="3" s="1"/>
  <c r="S10" i="12"/>
  <c r="M10" i="3" s="1"/>
  <c r="S8" i="12"/>
  <c r="M8" i="3" s="1"/>
  <c r="S6" i="12"/>
  <c r="M6" i="3" s="1"/>
  <c r="P33" i="11"/>
  <c r="S14" i="11" s="1"/>
  <c r="L14" i="3" s="1"/>
  <c r="P32" i="11"/>
  <c r="S13" i="11" s="1"/>
  <c r="L13" i="3" s="1"/>
  <c r="P31" i="11"/>
  <c r="S12" i="11" s="1"/>
  <c r="L12" i="3" s="1"/>
  <c r="P30" i="11"/>
  <c r="S11" i="11" s="1"/>
  <c r="L11" i="3" s="1"/>
  <c r="P29" i="11"/>
  <c r="S10" i="11" s="1"/>
  <c r="L10" i="3" s="1"/>
  <c r="P28" i="11"/>
  <c r="S9" i="11" s="1"/>
  <c r="L9" i="3" s="1"/>
  <c r="P27" i="11"/>
  <c r="S8" i="11" s="1"/>
  <c r="L8" i="3" s="1"/>
  <c r="P26" i="11"/>
  <c r="S7" i="11" s="1"/>
  <c r="L7" i="3" s="1"/>
  <c r="P25" i="11"/>
  <c r="P28" i="10"/>
  <c r="P27" i="10"/>
  <c r="P26" i="10"/>
  <c r="P25" i="10"/>
  <c r="P24" i="10"/>
  <c r="P23" i="10"/>
  <c r="P22" i="10"/>
  <c r="P21" i="10"/>
  <c r="P20" i="10"/>
  <c r="S13" i="9"/>
  <c r="J13" i="3" s="1"/>
  <c r="S11" i="9"/>
  <c r="J11" i="3" s="1"/>
  <c r="S9" i="9"/>
  <c r="J9" i="3" s="1"/>
  <c r="S7" i="9"/>
  <c r="J7" i="3" s="1"/>
  <c r="S9" i="8"/>
  <c r="I9" i="3" s="1"/>
  <c r="S11" i="8"/>
  <c r="I11" i="3" s="1"/>
  <c r="F9" i="20" l="1"/>
  <c r="F13" i="20"/>
  <c r="E14" i="20"/>
  <c r="E8" i="20"/>
  <c r="E10" i="20"/>
  <c r="E6" i="20"/>
  <c r="E12" i="20"/>
  <c r="D7" i="20"/>
  <c r="D11" i="20"/>
  <c r="D8" i="20"/>
  <c r="D12" i="20"/>
  <c r="D9" i="20"/>
  <c r="D13" i="20"/>
  <c r="D10" i="20"/>
  <c r="D14" i="20"/>
  <c r="S7" i="13"/>
  <c r="N7" i="3" s="1"/>
  <c r="S8" i="13"/>
  <c r="N8" i="3" s="1"/>
  <c r="S10" i="13"/>
  <c r="N10" i="3" s="1"/>
  <c r="S11" i="13"/>
  <c r="N11" i="3" s="1"/>
  <c r="S12" i="13"/>
  <c r="N12" i="3" s="1"/>
  <c r="S14" i="13"/>
  <c r="N14" i="3" s="1"/>
  <c r="S6" i="13"/>
  <c r="N6" i="3" s="1"/>
  <c r="S7" i="12"/>
  <c r="S9" i="12"/>
  <c r="M9" i="3" s="1"/>
  <c r="S11" i="12"/>
  <c r="M11" i="3" s="1"/>
  <c r="S13" i="12"/>
  <c r="M13" i="3" s="1"/>
  <c r="M15" i="20"/>
  <c r="S9" i="10"/>
  <c r="K9" i="3" s="1"/>
  <c r="S6" i="11"/>
  <c r="L6" i="3" s="1"/>
  <c r="S13" i="10"/>
  <c r="K13" i="3" s="1"/>
  <c r="S14" i="10"/>
  <c r="K14" i="3" s="1"/>
  <c r="S11" i="10"/>
  <c r="K11" i="3" s="1"/>
  <c r="S8" i="10"/>
  <c r="K8" i="3" s="1"/>
  <c r="S6" i="10"/>
  <c r="K6" i="3" s="1"/>
  <c r="S12" i="10"/>
  <c r="K12" i="3" s="1"/>
  <c r="S7" i="10"/>
  <c r="K7" i="3" s="1"/>
  <c r="S10" i="10"/>
  <c r="K10" i="3" s="1"/>
  <c r="S13" i="8"/>
  <c r="I13" i="3" s="1"/>
  <c r="S6" i="9"/>
  <c r="J6" i="3" s="1"/>
  <c r="S8" i="9"/>
  <c r="J8" i="3" s="1"/>
  <c r="S10" i="9"/>
  <c r="J10" i="3" s="1"/>
  <c r="S12" i="9"/>
  <c r="J12" i="3" s="1"/>
  <c r="S14" i="9"/>
  <c r="J14" i="3" s="1"/>
  <c r="S7" i="8"/>
  <c r="I7" i="3" s="1"/>
  <c r="S10" i="8"/>
  <c r="I10" i="3" s="1"/>
  <c r="S12" i="8"/>
  <c r="I12" i="3" s="1"/>
  <c r="S14" i="8"/>
  <c r="I14" i="3" s="1"/>
  <c r="S8" i="8"/>
  <c r="I8" i="3" s="1"/>
  <c r="S6" i="8"/>
  <c r="I6" i="3" s="1"/>
  <c r="C21" i="7"/>
  <c r="C22" i="7"/>
  <c r="C23" i="7"/>
  <c r="C24" i="7"/>
  <c r="C25" i="7"/>
  <c r="C26" i="7"/>
  <c r="C27" i="7"/>
  <c r="C28" i="7"/>
  <c r="C20" i="7"/>
  <c r="E7" i="20" l="1"/>
  <c r="M7" i="3"/>
  <c r="N22" i="3"/>
  <c r="F8" i="20"/>
  <c r="F7" i="20"/>
  <c r="M7" i="20" s="1"/>
  <c r="F14" i="20"/>
  <c r="M14" i="20" s="1"/>
  <c r="F6" i="20"/>
  <c r="F10" i="20"/>
  <c r="M10" i="20" s="1"/>
  <c r="F12" i="20"/>
  <c r="M12" i="20" s="1"/>
  <c r="F11" i="20"/>
  <c r="E11" i="20"/>
  <c r="E9" i="20"/>
  <c r="M9" i="20" s="1"/>
  <c r="E13" i="20"/>
  <c r="M13" i="20" s="1"/>
  <c r="D6" i="20"/>
  <c r="M8" i="20"/>
  <c r="K20" i="3"/>
  <c r="K22" i="3" s="1"/>
  <c r="I20" i="3"/>
  <c r="I22" i="3" s="1"/>
  <c r="J20" i="3"/>
  <c r="J22" i="3" s="1"/>
  <c r="Q21" i="6"/>
  <c r="Q22" i="6"/>
  <c r="Q23" i="6"/>
  <c r="Q24" i="6"/>
  <c r="Q25" i="6"/>
  <c r="Q26" i="6"/>
  <c r="Q27" i="6"/>
  <c r="Q28" i="6"/>
  <c r="Q20" i="6"/>
  <c r="M11" i="20" l="1"/>
  <c r="M6" i="20"/>
  <c r="L22" i="3"/>
  <c r="P21" i="6"/>
  <c r="P22" i="6"/>
  <c r="P23" i="6"/>
  <c r="P24" i="6"/>
  <c r="P25" i="6"/>
  <c r="P26" i="6"/>
  <c r="P27" i="6"/>
  <c r="P28" i="6"/>
  <c r="P20" i="6"/>
  <c r="M22" i="3" l="1"/>
  <c r="O21" i="6"/>
  <c r="O22" i="6"/>
  <c r="O23" i="6"/>
  <c r="O24" i="6"/>
  <c r="O25" i="6"/>
  <c r="O26" i="6"/>
  <c r="O27" i="6"/>
  <c r="O28" i="6"/>
  <c r="O20" i="6"/>
  <c r="N21" i="6"/>
  <c r="N22" i="6"/>
  <c r="N23" i="6"/>
  <c r="N24" i="6"/>
  <c r="N25" i="6"/>
  <c r="N26" i="6"/>
  <c r="N27" i="6"/>
  <c r="N28" i="6"/>
  <c r="N20" i="6"/>
  <c r="M21" i="6"/>
  <c r="M22" i="6"/>
  <c r="M23" i="6"/>
  <c r="M24" i="6"/>
  <c r="M25" i="6"/>
  <c r="M26" i="6"/>
  <c r="M27" i="6"/>
  <c r="M28" i="6"/>
  <c r="M20" i="6"/>
  <c r="L21" i="6"/>
  <c r="L22" i="6"/>
  <c r="L23" i="6"/>
  <c r="L24" i="6"/>
  <c r="L25" i="6"/>
  <c r="L26" i="6"/>
  <c r="L27" i="6"/>
  <c r="L28" i="6"/>
  <c r="L20" i="6"/>
  <c r="K21" i="6"/>
  <c r="K22" i="6"/>
  <c r="K23" i="6"/>
  <c r="K24" i="6"/>
  <c r="K25" i="6"/>
  <c r="K26" i="6"/>
  <c r="K27" i="6"/>
  <c r="K28" i="6"/>
  <c r="K20" i="6"/>
  <c r="J21" i="6"/>
  <c r="J22" i="6"/>
  <c r="J23" i="6"/>
  <c r="J24" i="6"/>
  <c r="J25" i="6"/>
  <c r="J26" i="6"/>
  <c r="J27" i="6"/>
  <c r="J28" i="6"/>
  <c r="J20" i="6"/>
  <c r="I21" i="6"/>
  <c r="I22" i="6"/>
  <c r="I23" i="6"/>
  <c r="I24" i="6"/>
  <c r="I25" i="6"/>
  <c r="I26" i="6"/>
  <c r="I27" i="6"/>
  <c r="I28" i="6"/>
  <c r="I20" i="6"/>
  <c r="H21" i="6"/>
  <c r="H22" i="6"/>
  <c r="H23" i="6"/>
  <c r="H24" i="6"/>
  <c r="H25" i="6"/>
  <c r="H26" i="6"/>
  <c r="H27" i="6"/>
  <c r="H28" i="6"/>
  <c r="H20" i="6"/>
  <c r="G21" i="6"/>
  <c r="G22" i="6"/>
  <c r="G23" i="6"/>
  <c r="G24" i="6"/>
  <c r="G25" i="6"/>
  <c r="G26" i="6"/>
  <c r="G27" i="6"/>
  <c r="G28" i="6"/>
  <c r="G20" i="6"/>
  <c r="F21" i="6"/>
  <c r="F22" i="6"/>
  <c r="F23" i="6"/>
  <c r="F24" i="6"/>
  <c r="F25" i="6"/>
  <c r="F26" i="6"/>
  <c r="F27" i="6"/>
  <c r="F28" i="6"/>
  <c r="F20" i="6"/>
  <c r="E21" i="6"/>
  <c r="E22" i="6"/>
  <c r="E23" i="6"/>
  <c r="E24" i="6"/>
  <c r="E25" i="6"/>
  <c r="E26" i="6"/>
  <c r="E27" i="6"/>
  <c r="E28" i="6"/>
  <c r="E20" i="6"/>
  <c r="D21" i="6"/>
  <c r="D22" i="6"/>
  <c r="D23" i="6"/>
  <c r="D24" i="6"/>
  <c r="D25" i="6"/>
  <c r="D26" i="6"/>
  <c r="D27" i="6"/>
  <c r="D28" i="6"/>
  <c r="D20" i="6"/>
  <c r="S14" i="7" l="1"/>
  <c r="H14" i="3" s="1"/>
  <c r="S13" i="7"/>
  <c r="H13" i="3" s="1"/>
  <c r="S12" i="7"/>
  <c r="H12" i="3" s="1"/>
  <c r="S11" i="7"/>
  <c r="H11" i="3" s="1"/>
  <c r="S10" i="7"/>
  <c r="H10" i="3" s="1"/>
  <c r="S9" i="7"/>
  <c r="H9" i="3" s="1"/>
  <c r="S8" i="7"/>
  <c r="H8" i="3" s="1"/>
  <c r="S7" i="7"/>
  <c r="H7" i="3" s="1"/>
  <c r="S6" i="7"/>
  <c r="H6" i="3" s="1"/>
  <c r="H20" i="3" l="1"/>
  <c r="H22" i="3" s="1"/>
  <c r="C21" i="6"/>
  <c r="C22" i="6"/>
  <c r="C23" i="6"/>
  <c r="C24" i="6"/>
  <c r="C25" i="6"/>
  <c r="C26" i="6"/>
  <c r="C27" i="6"/>
  <c r="C28" i="6"/>
  <c r="C20" i="6"/>
  <c r="S14" i="6" l="1"/>
  <c r="G14" i="3" s="1"/>
  <c r="S13" i="6"/>
  <c r="G13" i="3" s="1"/>
  <c r="S11" i="6"/>
  <c r="G11" i="3" s="1"/>
  <c r="S10" i="6"/>
  <c r="G10" i="3" s="1"/>
  <c r="S9" i="6"/>
  <c r="G9" i="3" s="1"/>
  <c r="R21" i="5"/>
  <c r="R22" i="5"/>
  <c r="R23" i="5"/>
  <c r="R24" i="5"/>
  <c r="R25" i="5"/>
  <c r="R26" i="5"/>
  <c r="R27" i="5"/>
  <c r="R28" i="5"/>
  <c r="R20" i="5"/>
  <c r="S7" i="6" l="1"/>
  <c r="G7" i="3" s="1"/>
  <c r="S6" i="6"/>
  <c r="G6" i="3" s="1"/>
  <c r="S12" i="6"/>
  <c r="G12" i="3" s="1"/>
  <c r="S8" i="6"/>
  <c r="G8" i="3" s="1"/>
  <c r="Q21" i="5"/>
  <c r="Q22" i="5"/>
  <c r="Q23" i="5"/>
  <c r="Q24" i="5"/>
  <c r="Q25" i="5"/>
  <c r="Q26" i="5"/>
  <c r="Q27" i="5"/>
  <c r="Q28" i="5"/>
  <c r="Q20" i="5"/>
  <c r="G20" i="3" l="1"/>
  <c r="G22" i="3" s="1"/>
  <c r="P21" i="5"/>
  <c r="P22" i="5"/>
  <c r="P23" i="5"/>
  <c r="P24" i="5"/>
  <c r="P25" i="5"/>
  <c r="P26" i="5"/>
  <c r="P27" i="5"/>
  <c r="P28" i="5"/>
  <c r="P20" i="5"/>
  <c r="O21" i="5"/>
  <c r="O22" i="5"/>
  <c r="O23" i="5"/>
  <c r="O24" i="5"/>
  <c r="O25" i="5"/>
  <c r="O26" i="5"/>
  <c r="O27" i="5"/>
  <c r="O28" i="5"/>
  <c r="O20" i="5"/>
  <c r="N21" i="5"/>
  <c r="N22" i="5"/>
  <c r="N23" i="5"/>
  <c r="N24" i="5"/>
  <c r="N25" i="5"/>
  <c r="N26" i="5"/>
  <c r="N27" i="5"/>
  <c r="N28" i="5"/>
  <c r="N20" i="5"/>
  <c r="M21" i="5"/>
  <c r="M22" i="5"/>
  <c r="M23" i="5"/>
  <c r="M24" i="5"/>
  <c r="M25" i="5"/>
  <c r="M26" i="5"/>
  <c r="M27" i="5"/>
  <c r="M28" i="5"/>
  <c r="M20" i="5"/>
  <c r="L21" i="5"/>
  <c r="L22" i="5"/>
  <c r="L23" i="5"/>
  <c r="L24" i="5"/>
  <c r="L25" i="5"/>
  <c r="L26" i="5"/>
  <c r="L27" i="5"/>
  <c r="L28" i="5"/>
  <c r="L20" i="5"/>
  <c r="K21" i="5"/>
  <c r="K22" i="5"/>
  <c r="K23" i="5"/>
  <c r="K24" i="5"/>
  <c r="K25" i="5"/>
  <c r="K26" i="5"/>
  <c r="K27" i="5"/>
  <c r="K28" i="5"/>
  <c r="K20" i="5"/>
  <c r="J21" i="5"/>
  <c r="J22" i="5"/>
  <c r="J23" i="5"/>
  <c r="J24" i="5"/>
  <c r="J25" i="5"/>
  <c r="J26" i="5"/>
  <c r="J27" i="5"/>
  <c r="J28" i="5"/>
  <c r="J20" i="5"/>
  <c r="I21" i="5"/>
  <c r="I22" i="5"/>
  <c r="I23" i="5"/>
  <c r="I24" i="5"/>
  <c r="I25" i="5"/>
  <c r="I26" i="5"/>
  <c r="I27" i="5"/>
  <c r="I28" i="5"/>
  <c r="I20" i="5"/>
  <c r="H20" i="5"/>
  <c r="H21" i="5"/>
  <c r="H22" i="5"/>
  <c r="H23" i="5"/>
  <c r="H24" i="5"/>
  <c r="H25" i="5"/>
  <c r="H26" i="5"/>
  <c r="H27" i="5"/>
  <c r="H28" i="5"/>
  <c r="G21" i="5"/>
  <c r="G22" i="5"/>
  <c r="G23" i="5"/>
  <c r="G24" i="5"/>
  <c r="G25" i="5"/>
  <c r="G26" i="5"/>
  <c r="G27" i="5"/>
  <c r="G28" i="5"/>
  <c r="G20" i="5"/>
  <c r="F21" i="5"/>
  <c r="F22" i="5"/>
  <c r="F23" i="5"/>
  <c r="F24" i="5"/>
  <c r="F25" i="5"/>
  <c r="F26" i="5"/>
  <c r="F27" i="5"/>
  <c r="F28" i="5"/>
  <c r="F20" i="5"/>
  <c r="E21" i="5"/>
  <c r="E22" i="5"/>
  <c r="E23" i="5"/>
  <c r="E24" i="5"/>
  <c r="E25" i="5"/>
  <c r="E26" i="5"/>
  <c r="E27" i="5"/>
  <c r="E28" i="5"/>
  <c r="E20" i="5"/>
  <c r="D21" i="5"/>
  <c r="D22" i="5"/>
  <c r="D23" i="5"/>
  <c r="D24" i="5"/>
  <c r="D25" i="5"/>
  <c r="D26" i="5"/>
  <c r="D27" i="5"/>
  <c r="D28" i="5"/>
  <c r="D20" i="5"/>
  <c r="C21" i="5" l="1"/>
  <c r="C22" i="5"/>
  <c r="C23" i="5"/>
  <c r="C24" i="5"/>
  <c r="C25" i="5"/>
  <c r="C26" i="5"/>
  <c r="C27" i="5"/>
  <c r="C28" i="5"/>
  <c r="C20" i="5"/>
  <c r="S13" i="5" l="1"/>
  <c r="F13" i="3" s="1"/>
  <c r="S12" i="5"/>
  <c r="F12" i="3" s="1"/>
  <c r="S11" i="5"/>
  <c r="F11" i="3" s="1"/>
  <c r="S10" i="5"/>
  <c r="F10" i="3" s="1"/>
  <c r="S9" i="5"/>
  <c r="F9" i="3" s="1"/>
  <c r="S8" i="5"/>
  <c r="F8" i="3" s="1"/>
  <c r="S14" i="5"/>
  <c r="F14" i="3" s="1"/>
  <c r="S6" i="5"/>
  <c r="F6" i="3" s="1"/>
  <c r="S7" i="5"/>
  <c r="F7" i="3" s="1"/>
  <c r="R22" i="4"/>
  <c r="R23" i="4"/>
  <c r="R24" i="4"/>
  <c r="R25" i="4"/>
  <c r="R26" i="4"/>
  <c r="R27" i="4"/>
  <c r="R28" i="4"/>
  <c r="R29" i="4"/>
  <c r="R21" i="4"/>
  <c r="F20" i="3" l="1"/>
  <c r="F22" i="3" s="1"/>
  <c r="Q22" i="4"/>
  <c r="Q23" i="4"/>
  <c r="Q24" i="4"/>
  <c r="Q25" i="4"/>
  <c r="Q26" i="4"/>
  <c r="Q27" i="4"/>
  <c r="Q28" i="4"/>
  <c r="Q29" i="4"/>
  <c r="Q21" i="4"/>
  <c r="P22" i="4" l="1"/>
  <c r="P23" i="4"/>
  <c r="P24" i="4"/>
  <c r="P25" i="4"/>
  <c r="P26" i="4"/>
  <c r="P27" i="4"/>
  <c r="P28" i="4"/>
  <c r="P29" i="4"/>
  <c r="P21" i="4"/>
  <c r="O22" i="4"/>
  <c r="O23" i="4"/>
  <c r="O24" i="4"/>
  <c r="O25" i="4"/>
  <c r="O26" i="4"/>
  <c r="O27" i="4"/>
  <c r="O28" i="4"/>
  <c r="O29" i="4"/>
  <c r="O21" i="4"/>
  <c r="N22" i="4"/>
  <c r="N23" i="4"/>
  <c r="N24" i="4"/>
  <c r="N25" i="4"/>
  <c r="N26" i="4"/>
  <c r="N27" i="4"/>
  <c r="N28" i="4"/>
  <c r="N29" i="4"/>
  <c r="N21" i="4"/>
  <c r="M22" i="4"/>
  <c r="M23" i="4"/>
  <c r="M24" i="4"/>
  <c r="M25" i="4"/>
  <c r="M26" i="4"/>
  <c r="M27" i="4"/>
  <c r="M28" i="4"/>
  <c r="M29" i="4"/>
  <c r="M21" i="4"/>
  <c r="L22" i="4"/>
  <c r="L23" i="4"/>
  <c r="L24" i="4"/>
  <c r="L25" i="4"/>
  <c r="L26" i="4"/>
  <c r="L27" i="4"/>
  <c r="L28" i="4"/>
  <c r="L29" i="4"/>
  <c r="L21" i="4"/>
  <c r="D27" i="4"/>
  <c r="E27" i="4"/>
  <c r="F27" i="4"/>
  <c r="G27" i="4"/>
  <c r="H27" i="4"/>
  <c r="I27" i="4"/>
  <c r="J27" i="4"/>
  <c r="K27" i="4"/>
  <c r="E22" i="4"/>
  <c r="E23" i="4"/>
  <c r="E24" i="4"/>
  <c r="E25" i="4"/>
  <c r="E26" i="4"/>
  <c r="E28" i="4"/>
  <c r="E29" i="4"/>
  <c r="E21" i="4"/>
  <c r="K22" i="4"/>
  <c r="K23" i="4"/>
  <c r="K24" i="4"/>
  <c r="K25" i="4"/>
  <c r="K26" i="4"/>
  <c r="K28" i="4"/>
  <c r="K29" i="4"/>
  <c r="K21" i="4"/>
  <c r="J22" i="4"/>
  <c r="J23" i="4"/>
  <c r="J24" i="4"/>
  <c r="J25" i="4"/>
  <c r="J26" i="4"/>
  <c r="J28" i="4"/>
  <c r="J29" i="4"/>
  <c r="J21" i="4"/>
  <c r="I22" i="4"/>
  <c r="I23" i="4"/>
  <c r="I24" i="4"/>
  <c r="I25" i="4"/>
  <c r="I26" i="4"/>
  <c r="I28" i="4"/>
  <c r="I29" i="4"/>
  <c r="I21" i="4"/>
  <c r="H22" i="4"/>
  <c r="H23" i="4"/>
  <c r="H24" i="4"/>
  <c r="H25" i="4"/>
  <c r="H26" i="4"/>
  <c r="H28" i="4"/>
  <c r="H29" i="4"/>
  <c r="H21" i="4"/>
  <c r="G22" i="4"/>
  <c r="G23" i="4"/>
  <c r="G24" i="4"/>
  <c r="G25" i="4"/>
  <c r="G26" i="4"/>
  <c r="G28" i="4"/>
  <c r="G29" i="4"/>
  <c r="G21" i="4"/>
  <c r="F22" i="4"/>
  <c r="F23" i="4"/>
  <c r="F24" i="4"/>
  <c r="F25" i="4"/>
  <c r="F26" i="4"/>
  <c r="F28" i="4"/>
  <c r="F29" i="4"/>
  <c r="F21" i="4"/>
  <c r="D22" i="4"/>
  <c r="D23" i="4"/>
  <c r="S8" i="4" s="1"/>
  <c r="E8" i="3" s="1"/>
  <c r="D24" i="4"/>
  <c r="D25" i="4"/>
  <c r="D26" i="4"/>
  <c r="D28" i="4"/>
  <c r="D29" i="4"/>
  <c r="D21" i="4"/>
  <c r="S12" i="4"/>
  <c r="E12" i="3" s="1"/>
  <c r="S9" i="4" l="1"/>
  <c r="E9" i="3" s="1"/>
  <c r="S11" i="4"/>
  <c r="E11" i="3" s="1"/>
  <c r="S7" i="4"/>
  <c r="E7" i="3" s="1"/>
  <c r="S14" i="4"/>
  <c r="E14" i="3" s="1"/>
  <c r="S13" i="4"/>
  <c r="E13" i="3" s="1"/>
  <c r="S10" i="4"/>
  <c r="E10" i="3" s="1"/>
  <c r="S6" i="4" l="1"/>
  <c r="E6" i="3" s="1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R27" i="2"/>
  <c r="R28" i="2"/>
  <c r="R29" i="2"/>
  <c r="Q27" i="2"/>
  <c r="Q28" i="2"/>
  <c r="Q29" i="2"/>
  <c r="P27" i="2"/>
  <c r="P28" i="2"/>
  <c r="P29" i="2"/>
  <c r="C22" i="2"/>
  <c r="C23" i="2"/>
  <c r="C24" i="2"/>
  <c r="C25" i="2"/>
  <c r="C26" i="2"/>
  <c r="C27" i="2"/>
  <c r="C28" i="2"/>
  <c r="C29" i="2"/>
  <c r="C21" i="2"/>
  <c r="O27" i="2"/>
  <c r="O28" i="2"/>
  <c r="O29" i="2"/>
  <c r="N27" i="2"/>
  <c r="N28" i="2"/>
  <c r="N29" i="2"/>
  <c r="M27" i="2"/>
  <c r="M28" i="2"/>
  <c r="M29" i="2"/>
  <c r="L27" i="2"/>
  <c r="L28" i="2"/>
  <c r="L29" i="2"/>
  <c r="K27" i="2"/>
  <c r="K28" i="2"/>
  <c r="K29" i="2"/>
  <c r="J27" i="2"/>
  <c r="J28" i="2"/>
  <c r="J29" i="2"/>
  <c r="I27" i="2"/>
  <c r="I28" i="2"/>
  <c r="I29" i="2"/>
  <c r="H27" i="2"/>
  <c r="H28" i="2"/>
  <c r="H29" i="2"/>
  <c r="G27" i="2"/>
  <c r="G28" i="2"/>
  <c r="G29" i="2"/>
  <c r="F27" i="2"/>
  <c r="F28" i="2"/>
  <c r="F29" i="2"/>
  <c r="E27" i="2"/>
  <c r="E28" i="2"/>
  <c r="E29" i="2"/>
  <c r="D27" i="2"/>
  <c r="D28" i="2"/>
  <c r="D29" i="2"/>
  <c r="E20" i="3" l="1"/>
  <c r="S8" i="2"/>
  <c r="D8" i="3" s="1"/>
  <c r="U8" i="3" s="1"/>
  <c r="S6" i="2"/>
  <c r="S11" i="2"/>
  <c r="D11" i="3" s="1"/>
  <c r="U11" i="3" s="1"/>
  <c r="S7" i="2"/>
  <c r="D7" i="3" s="1"/>
  <c r="U7" i="3" s="1"/>
  <c r="S12" i="2"/>
  <c r="D12" i="3" s="1"/>
  <c r="U12" i="3" s="1"/>
  <c r="S14" i="2"/>
  <c r="D14" i="3" s="1"/>
  <c r="U14" i="3" s="1"/>
  <c r="S10" i="2"/>
  <c r="D10" i="3" s="1"/>
  <c r="U10" i="3" s="1"/>
  <c r="S13" i="2"/>
  <c r="D13" i="3" s="1"/>
  <c r="U13" i="3" s="1"/>
  <c r="S9" i="2"/>
  <c r="D9" i="3" s="1"/>
  <c r="U9" i="3" s="1"/>
  <c r="D20" i="3" l="1"/>
  <c r="U6" i="3"/>
  <c r="E22" i="3"/>
  <c r="D22" i="3" l="1"/>
  <c r="U22" i="3"/>
</calcChain>
</file>

<file path=xl/sharedStrings.xml><?xml version="1.0" encoding="utf-8"?>
<sst xmlns="http://schemas.openxmlformats.org/spreadsheetml/2006/main" count="4809" uniqueCount="445">
  <si>
    <t>Matchup</t>
  </si>
  <si>
    <t>Line (Home)</t>
  </si>
  <si>
    <t>()</t>
  </si>
  <si>
    <t>Tyson</t>
  </si>
  <si>
    <t>CAR@DEN</t>
  </si>
  <si>
    <t>TB@ATL</t>
  </si>
  <si>
    <t>MIN@TN</t>
  </si>
  <si>
    <t>OAK@NO</t>
  </si>
  <si>
    <t>CIN@NYJ</t>
  </si>
  <si>
    <t>CLE@PHI</t>
  </si>
  <si>
    <t>GB@JAX</t>
  </si>
  <si>
    <t>BUF@BAL</t>
  </si>
  <si>
    <t>CHI@HOU</t>
  </si>
  <si>
    <t>MIA@SEA</t>
  </si>
  <si>
    <t>NYG@DAL</t>
  </si>
  <si>
    <t>DET@IND</t>
  </si>
  <si>
    <t>NE@AZ</t>
  </si>
  <si>
    <t>PIT@WAS</t>
  </si>
  <si>
    <t>LA@SF</t>
  </si>
  <si>
    <t>(+2.5)</t>
  </si>
  <si>
    <t>(-3)</t>
  </si>
  <si>
    <t>(-6.5)</t>
  </si>
  <si>
    <t>(-1.5)</t>
  </si>
  <si>
    <t>(-3.5)</t>
  </si>
  <si>
    <t>(+4.5)</t>
  </si>
  <si>
    <t>(-5.5)</t>
  </si>
  <si>
    <t>(-10)</t>
  </si>
  <si>
    <t>(-1)</t>
  </si>
  <si>
    <t>(+3)</t>
  </si>
  <si>
    <t>Trevor</t>
  </si>
  <si>
    <t>Walker</t>
  </si>
  <si>
    <t>Bangle</t>
  </si>
  <si>
    <t>Austin</t>
  </si>
  <si>
    <t>CAR</t>
  </si>
  <si>
    <t>DEN</t>
  </si>
  <si>
    <t>Dean</t>
  </si>
  <si>
    <t>Alex</t>
  </si>
  <si>
    <t>Thadd</t>
  </si>
  <si>
    <t>TOTAL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</si>
  <si>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</si>
  <si>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</si>
  <si>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</si>
  <si>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</si>
  <si>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</si>
  <si>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</si>
  <si>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</si>
  <si>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</si>
  <si>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</si>
  <si>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</si>
  <si>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</si>
  <si>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</si>
  <si>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</si>
  <si>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</si>
  <si>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</si>
  <si>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</si>
  <si>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</si>
  <si>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SD@KC</t>
  </si>
  <si>
    <t>B-Dave</t>
  </si>
  <si>
    <t>ATL</t>
  </si>
  <si>
    <t>TN</t>
  </si>
  <si>
    <t>KC</t>
  </si>
  <si>
    <t>NO</t>
  </si>
  <si>
    <t>CIN</t>
  </si>
  <si>
    <t>CLE</t>
  </si>
  <si>
    <t>GB</t>
  </si>
  <si>
    <t>BUF</t>
  </si>
  <si>
    <t>HOU</t>
  </si>
  <si>
    <t>SEA</t>
  </si>
  <si>
    <t>NYG</t>
  </si>
  <si>
    <t>IND</t>
  </si>
  <si>
    <t>AZ</t>
  </si>
  <si>
    <t>WAS</t>
  </si>
  <si>
    <t>SF</t>
  </si>
  <si>
    <t>TB</t>
  </si>
  <si>
    <t>OAK</t>
  </si>
  <si>
    <t>PHI</t>
  </si>
  <si>
    <t>PIT</t>
  </si>
  <si>
    <t>LA</t>
  </si>
  <si>
    <t>Oak</t>
  </si>
  <si>
    <t>NYJ</t>
  </si>
  <si>
    <t>Phi</t>
  </si>
  <si>
    <t>Buf</t>
  </si>
  <si>
    <t>Hou</t>
  </si>
  <si>
    <t>Sea</t>
  </si>
  <si>
    <t>Dal</t>
  </si>
  <si>
    <t>Ind</t>
  </si>
  <si>
    <t>Pit</t>
  </si>
  <si>
    <t>MIN</t>
  </si>
  <si>
    <t>CHI</t>
  </si>
  <si>
    <t>NE</t>
  </si>
  <si>
    <t>DAL</t>
  </si>
  <si>
    <t>BAL</t>
  </si>
  <si>
    <t>CORRECT PICKS</t>
  </si>
  <si>
    <t>CORRECT</t>
  </si>
  <si>
    <t>PICKS</t>
  </si>
  <si>
    <t>NYJ@BUF</t>
  </si>
  <si>
    <t>DAL@WAS</t>
  </si>
  <si>
    <t>SF@CAR</t>
  </si>
  <si>
    <t>TEN@DET</t>
  </si>
  <si>
    <t>MIA@NE</t>
  </si>
  <si>
    <t>NO@NYG</t>
  </si>
  <si>
    <t>KC@HOU</t>
  </si>
  <si>
    <t>BAL@CLE</t>
  </si>
  <si>
    <t>CIN@PIT</t>
  </si>
  <si>
    <t>TB@ARI</t>
  </si>
  <si>
    <t>SEA@LA</t>
  </si>
  <si>
    <t>JAX@SD</t>
  </si>
  <si>
    <t>ATL@OAK</t>
  </si>
  <si>
    <t>IND@DEN</t>
  </si>
  <si>
    <t>GB@MIN</t>
  </si>
  <si>
    <t>PHI@CHI</t>
  </si>
  <si>
    <t>(-2.5)</t>
  </si>
  <si>
    <t>(-13.5)</t>
  </si>
  <si>
    <t>(-5)</t>
  </si>
  <si>
    <t>(-4)</t>
  </si>
  <si>
    <t>(+3.5)</t>
  </si>
  <si>
    <t>(-7.5)</t>
  </si>
  <si>
    <t>DET</t>
  </si>
  <si>
    <t>ARI</t>
  </si>
  <si>
    <t>SD</t>
  </si>
  <si>
    <t>TEN</t>
  </si>
  <si>
    <t>MIA</t>
  </si>
  <si>
    <t>JAX</t>
  </si>
  <si>
    <t>Standings</t>
  </si>
  <si>
    <t>Score</t>
  </si>
  <si>
    <t>HOU@NE</t>
  </si>
  <si>
    <t>DEN@CIN</t>
  </si>
  <si>
    <t>OAK@TEN</t>
  </si>
  <si>
    <t>ARI@BUF</t>
  </si>
  <si>
    <t>CLE@MIA</t>
  </si>
  <si>
    <t>WAS@NYG</t>
  </si>
  <si>
    <t>DET@GB</t>
  </si>
  <si>
    <t>MIN@CAR</t>
  </si>
  <si>
    <t>SF@SEA</t>
  </si>
  <si>
    <t>LA@TB</t>
  </si>
  <si>
    <t>PIT@PHI</t>
  </si>
  <si>
    <t>NYJ@KC</t>
  </si>
  <si>
    <t>SD@IND</t>
  </si>
  <si>
    <t>CHI@DAL</t>
  </si>
  <si>
    <t>ATL@NO</t>
  </si>
  <si>
    <t>PICK</t>
  </si>
  <si>
    <t>(-4.5)</t>
  </si>
  <si>
    <t>(-7)</t>
  </si>
  <si>
    <t>(-9.5)</t>
  </si>
  <si>
    <t>(+5.5)</t>
  </si>
  <si>
    <t>BAL@JAX</t>
  </si>
  <si>
    <t>MIA@CIN</t>
  </si>
  <si>
    <t>London</t>
  </si>
  <si>
    <t>CLE@WAS</t>
  </si>
  <si>
    <t>BUF@NE</t>
  </si>
  <si>
    <t>SEA@NYJ</t>
  </si>
  <si>
    <t>CAR@ATL</t>
  </si>
  <si>
    <t>DET@CHI</t>
  </si>
  <si>
    <t>TEN@HOU</t>
  </si>
  <si>
    <t>OAK@BAL</t>
  </si>
  <si>
    <t>DEN@TB</t>
  </si>
  <si>
    <t>DAL@SF</t>
  </si>
  <si>
    <t>NO@SD</t>
  </si>
  <si>
    <t>LA@ARI</t>
  </si>
  <si>
    <t>KC@PIT</t>
  </si>
  <si>
    <t>NYG@MIN</t>
  </si>
  <si>
    <t>Bye Week</t>
  </si>
  <si>
    <t>JAXv.IND</t>
  </si>
  <si>
    <t>(+1.5)</t>
  </si>
  <si>
    <t>(-9)</t>
  </si>
  <si>
    <t>(-6)</t>
  </si>
  <si>
    <t>-</t>
  </si>
  <si>
    <t>ARI@SF</t>
  </si>
  <si>
    <t>HOU@MIN</t>
  </si>
  <si>
    <t>TEN@MIA</t>
  </si>
  <si>
    <t>NE@CLE</t>
  </si>
  <si>
    <t>NYJ@PIT</t>
  </si>
  <si>
    <t>WAS@BAL</t>
  </si>
  <si>
    <t>PHI@DET</t>
  </si>
  <si>
    <t>CHI@IND</t>
  </si>
  <si>
    <t>ATL@DEN</t>
  </si>
  <si>
    <t>BUF@LA</t>
  </si>
  <si>
    <t>SD@OAK</t>
  </si>
  <si>
    <t>CIN@DAL</t>
  </si>
  <si>
    <t>NYG@GB</t>
  </si>
  <si>
    <t>(+10.5)</t>
  </si>
  <si>
    <t>(+1)</t>
  </si>
  <si>
    <t>TB@CAR</t>
  </si>
  <si>
    <t>Bye Week:</t>
  </si>
  <si>
    <t>DEN@SD</t>
  </si>
  <si>
    <t>SF@BUF</t>
  </si>
  <si>
    <t>PHI@WAS</t>
  </si>
  <si>
    <t>CLE@TEN</t>
  </si>
  <si>
    <t>BAL@NYG</t>
  </si>
  <si>
    <t>CAR@NO</t>
  </si>
  <si>
    <t>JAX@CHI</t>
  </si>
  <si>
    <t>LA@DET</t>
  </si>
  <si>
    <t>PIT@MIA</t>
  </si>
  <si>
    <t>CIN@NE</t>
  </si>
  <si>
    <t>KC@OAK</t>
  </si>
  <si>
    <t>ATL@SEA</t>
  </si>
  <si>
    <t>DAL@GB</t>
  </si>
  <si>
    <t>IND@HOU</t>
  </si>
  <si>
    <t>NYJ@ARI</t>
  </si>
  <si>
    <t>(+6.5)</t>
  </si>
  <si>
    <t>(-8)</t>
  </si>
  <si>
    <t>den</t>
  </si>
  <si>
    <t>buf</t>
  </si>
  <si>
    <t>ten</t>
  </si>
  <si>
    <t>nyg</t>
  </si>
  <si>
    <t>no</t>
  </si>
  <si>
    <t>CHI@GB</t>
  </si>
  <si>
    <t>NYG@LA</t>
  </si>
  <si>
    <t>NO@KC</t>
  </si>
  <si>
    <t>IND@TEN</t>
  </si>
  <si>
    <t>MIN@PHI</t>
  </si>
  <si>
    <t>CLE@CIN</t>
  </si>
  <si>
    <t>WAS@DET</t>
  </si>
  <si>
    <t>OAK@JAX</t>
  </si>
  <si>
    <t>BUF@MIA</t>
  </si>
  <si>
    <t>BAL@NYJ</t>
  </si>
  <si>
    <t>TB@SF</t>
  </si>
  <si>
    <t>SD@ATL</t>
  </si>
  <si>
    <t>NE@PIT</t>
  </si>
  <si>
    <t>SEA@ARI</t>
  </si>
  <si>
    <t>HOU@DEN</t>
  </si>
  <si>
    <t>JAX@TEN</t>
  </si>
  <si>
    <t>WAS@CIN</t>
  </si>
  <si>
    <t>DET@HOU</t>
  </si>
  <si>
    <t>GB@ATL</t>
  </si>
  <si>
    <t>KC@IND</t>
  </si>
  <si>
    <t>NE@BUF</t>
  </si>
  <si>
    <t>NYJ@CLE</t>
  </si>
  <si>
    <t>OAK@TB</t>
  </si>
  <si>
    <t>SEA@NO</t>
  </si>
  <si>
    <t>SD@DEN</t>
  </si>
  <si>
    <t>ARI@CAR</t>
  </si>
  <si>
    <t>PHI@DAL</t>
  </si>
  <si>
    <t>MIN@CHI</t>
  </si>
  <si>
    <t>Column1</t>
  </si>
  <si>
    <t>ATL@TB</t>
  </si>
  <si>
    <t>DAL@CLE</t>
  </si>
  <si>
    <t>DET@MIN</t>
  </si>
  <si>
    <t>JAX@KC</t>
  </si>
  <si>
    <t>NYJ@MIA</t>
  </si>
  <si>
    <t>PHI@NYG</t>
  </si>
  <si>
    <t>PIT@BAL</t>
  </si>
  <si>
    <t>CAR@LA</t>
  </si>
  <si>
    <t>NO@SF</t>
  </si>
  <si>
    <t>IND@GB</t>
  </si>
  <si>
    <t>TEN@SD</t>
  </si>
  <si>
    <t>DEN@OAK</t>
  </si>
  <si>
    <t>BUF@SEA</t>
  </si>
  <si>
    <t>CLE@BAL</t>
  </si>
  <si>
    <t>ATL@PHI</t>
  </si>
  <si>
    <t>CHI@TB</t>
  </si>
  <si>
    <t>DEN@NO</t>
  </si>
  <si>
    <t>GB@TEN</t>
  </si>
  <si>
    <t>HOU@JAX</t>
  </si>
  <si>
    <t>KC@CAR</t>
  </si>
  <si>
    <t>LA@NYJ</t>
  </si>
  <si>
    <t>MIN@WAS</t>
  </si>
  <si>
    <t>MIA@SD</t>
  </si>
  <si>
    <t>DAL@PIT</t>
  </si>
  <si>
    <t>SF@ARI</t>
  </si>
  <si>
    <t>SEA@NE</t>
  </si>
  <si>
    <t>CIN@NYG</t>
  </si>
  <si>
    <t>NO@CAR</t>
  </si>
  <si>
    <t>ARI@MIN</t>
  </si>
  <si>
    <t>BAL@DAL</t>
  </si>
  <si>
    <t>BUF@CIN</t>
  </si>
  <si>
    <t>CHI@NYG</t>
  </si>
  <si>
    <t>JAX@DET</t>
  </si>
  <si>
    <t>PIT@CLE</t>
  </si>
  <si>
    <t>TB@KC</t>
  </si>
  <si>
    <t>TEN@IND</t>
  </si>
  <si>
    <t>MIA@LA</t>
  </si>
  <si>
    <t>NE@SF</t>
  </si>
  <si>
    <t>PHI@SEA</t>
  </si>
  <si>
    <t>GB@WAS</t>
  </si>
  <si>
    <t>HOU@OAK</t>
  </si>
  <si>
    <t>MIN@DET</t>
  </si>
  <si>
    <t>WAS@DAL</t>
  </si>
  <si>
    <t>PIT@IND</t>
  </si>
  <si>
    <t>ARI@ATL</t>
  </si>
  <si>
    <t>CIN@BAL</t>
  </si>
  <si>
    <t>JAX@BUF</t>
  </si>
  <si>
    <t>LA@NO</t>
  </si>
  <si>
    <t>NYG@CLE</t>
  </si>
  <si>
    <t>SD@HOU</t>
  </si>
  <si>
    <t>SF@MIA</t>
  </si>
  <si>
    <t>TEN@CHI</t>
  </si>
  <si>
    <t>SEA@TB</t>
  </si>
  <si>
    <t>CAR@OAK</t>
  </si>
  <si>
    <t>KC@DEN</t>
  </si>
  <si>
    <t>NE@NYJ</t>
  </si>
  <si>
    <t>GB@PHI</t>
  </si>
  <si>
    <t>DAL@MIN</t>
  </si>
  <si>
    <t>DEN@JAX</t>
  </si>
  <si>
    <t>DET@NO</t>
  </si>
  <si>
    <t>HOU@GB</t>
  </si>
  <si>
    <t>KC@ATL</t>
  </si>
  <si>
    <t>LA@NE</t>
  </si>
  <si>
    <t>MIA@BAL</t>
  </si>
  <si>
    <t>PHI@CIN</t>
  </si>
  <si>
    <t>SF@CHI</t>
  </si>
  <si>
    <t>BUF@OAK</t>
  </si>
  <si>
    <t>NYG@PIT</t>
  </si>
  <si>
    <t>TB@SD</t>
  </si>
  <si>
    <t>WAS@ARI</t>
  </si>
  <si>
    <t>CAR@SEA</t>
  </si>
  <si>
    <t>IND@NYJ</t>
  </si>
  <si>
    <t>OAK@KC</t>
  </si>
  <si>
    <t>ARI@MIA</t>
  </si>
  <si>
    <t>CHI@DET</t>
  </si>
  <si>
    <t>CIN@CLE</t>
  </si>
  <si>
    <t>DEN@TEN</t>
  </si>
  <si>
    <t>HOU@IND</t>
  </si>
  <si>
    <t>MIN@JAX</t>
  </si>
  <si>
    <t>NO@TB</t>
  </si>
  <si>
    <t>PIT@BUF</t>
  </si>
  <si>
    <t>SD@CAR</t>
  </si>
  <si>
    <t>WAS@PHI</t>
  </si>
  <si>
    <t>NYJ@SF</t>
  </si>
  <si>
    <t>ATL@LA</t>
  </si>
  <si>
    <t>SEA@GB</t>
  </si>
  <si>
    <t>BAL@NE</t>
  </si>
  <si>
    <t>LA@SEA</t>
  </si>
  <si>
    <t>MIA@NYJ</t>
  </si>
  <si>
    <t>CLE@BUF</t>
  </si>
  <si>
    <t>DET@NYG</t>
  </si>
  <si>
    <t>GB@CHI</t>
  </si>
  <si>
    <t>IND@MIN</t>
  </si>
  <si>
    <t>PHI@BAL</t>
  </si>
  <si>
    <t>TB@DAL</t>
  </si>
  <si>
    <t>TEN@KC</t>
  </si>
  <si>
    <t>NO@ARI</t>
  </si>
  <si>
    <t>SF@ATL</t>
  </si>
  <si>
    <t>NE@DEN</t>
  </si>
  <si>
    <t>OAK@SD</t>
  </si>
  <si>
    <t>PIT@CIN</t>
  </si>
  <si>
    <t>CAR@WAS</t>
  </si>
  <si>
    <t>JAX@HOU</t>
  </si>
  <si>
    <t>NYG@PHI</t>
  </si>
  <si>
    <t>ATL@CAR</t>
  </si>
  <si>
    <t>MIA@BUF</t>
  </si>
  <si>
    <t>MIN@GB</t>
  </si>
  <si>
    <t>NYJ@NE</t>
  </si>
  <si>
    <t>SD@CLE</t>
  </si>
  <si>
    <t>TB@NO</t>
  </si>
  <si>
    <t>TEN@JAX</t>
  </si>
  <si>
    <t>WAS@CHI</t>
  </si>
  <si>
    <t>IND@OAK</t>
  </si>
  <si>
    <t>ARI@LA</t>
  </si>
  <si>
    <t>CIN@HOU</t>
  </si>
  <si>
    <t>BAL@PIT</t>
  </si>
  <si>
    <t>DEN@KC</t>
  </si>
  <si>
    <t>SF@LA</t>
  </si>
  <si>
    <t>BAL@CIN</t>
  </si>
  <si>
    <t>BUF@NYJ</t>
  </si>
  <si>
    <t>CAR@TB</t>
  </si>
  <si>
    <t>CHI@MIN</t>
  </si>
  <si>
    <t>CLE@PIT</t>
  </si>
  <si>
    <t>DAL@PHI</t>
  </si>
  <si>
    <t>GB@DET</t>
  </si>
  <si>
    <t>HOU@TEN</t>
  </si>
  <si>
    <t>JAX@IND</t>
  </si>
  <si>
    <t>NE@MIA</t>
  </si>
  <si>
    <t>NO@ATL</t>
  </si>
  <si>
    <t>NYG@WAS</t>
  </si>
  <si>
    <t>KC@SD</t>
  </si>
  <si>
    <t>OAK@DEN</t>
  </si>
  <si>
    <t>SEA@SF</t>
  </si>
  <si>
    <t>Thanksgiving Day Games</t>
  </si>
  <si>
    <t>(+2)</t>
  </si>
  <si>
    <t>(+7.5)</t>
  </si>
  <si>
    <t xml:space="preserve"> </t>
  </si>
  <si>
    <t>Players</t>
  </si>
  <si>
    <t>Possible</t>
  </si>
  <si>
    <t>Percentage</t>
  </si>
  <si>
    <t>Correct</t>
  </si>
  <si>
    <t>League Avg.</t>
  </si>
  <si>
    <t>(+6)</t>
  </si>
  <si>
    <t>(+4)</t>
  </si>
  <si>
    <t>Shelby</t>
  </si>
  <si>
    <t>Chris</t>
  </si>
  <si>
    <t>Tom</t>
  </si>
  <si>
    <t>First Place:</t>
  </si>
  <si>
    <t>Second Place:</t>
  </si>
  <si>
    <t>Paid?</t>
  </si>
  <si>
    <t>yes</t>
  </si>
  <si>
    <t xml:space="preserve">DAL </t>
  </si>
  <si>
    <t>Cody</t>
  </si>
  <si>
    <t>Min</t>
  </si>
  <si>
    <t>Cecil</t>
  </si>
  <si>
    <t>TIES: Will split among winners up to 3 ways. If 4 people tie, money carries over to the next week.</t>
  </si>
  <si>
    <t>Monday Night Switch Total</t>
  </si>
  <si>
    <t>(-2)</t>
  </si>
  <si>
    <t>$40 per week</t>
  </si>
  <si>
    <t>Running Total</t>
  </si>
  <si>
    <t>Bal</t>
  </si>
  <si>
    <t>Atl</t>
  </si>
  <si>
    <t>Chi</t>
  </si>
  <si>
    <t>Ari</t>
  </si>
  <si>
    <t>Mexico City</t>
  </si>
  <si>
    <t>(+9)</t>
  </si>
  <si>
    <t>(+13)</t>
  </si>
  <si>
    <t>Car</t>
  </si>
  <si>
    <t>Cin</t>
  </si>
  <si>
    <t>$1 leftover was placed into the first place pot.</t>
  </si>
  <si>
    <t>(+7)</t>
  </si>
  <si>
    <t>(+8)</t>
  </si>
  <si>
    <t>det</t>
  </si>
  <si>
    <t>pit</t>
  </si>
  <si>
    <t>atl</t>
  </si>
  <si>
    <t>bal</t>
  </si>
  <si>
    <t>hou</t>
  </si>
  <si>
    <t>mia</t>
  </si>
  <si>
    <t>sea</t>
  </si>
  <si>
    <t>oak</t>
  </si>
  <si>
    <t>ne</t>
  </si>
  <si>
    <t>gb</t>
  </si>
  <si>
    <t>Carryover</t>
  </si>
  <si>
    <t>$ Double $</t>
  </si>
  <si>
    <t>(+5)</t>
  </si>
  <si>
    <t>Den</t>
  </si>
  <si>
    <t>No</t>
  </si>
  <si>
    <t>Gb</t>
  </si>
  <si>
    <t>Kc</t>
  </si>
  <si>
    <t>Ne</t>
  </si>
  <si>
    <t>Sf</t>
  </si>
  <si>
    <t>Sd</t>
  </si>
  <si>
    <t>DAL@NYG</t>
  </si>
  <si>
    <t>(-8.5)</t>
  </si>
  <si>
    <t>(-14)</t>
  </si>
  <si>
    <t>Saturday</t>
  </si>
  <si>
    <t>DET@DAL</t>
  </si>
  <si>
    <t>(-16.5)</t>
  </si>
  <si>
    <t>ARI@SEA</t>
  </si>
  <si>
    <t>idiot</t>
  </si>
  <si>
    <t>(+9.5)</t>
  </si>
  <si>
    <t>(+10)</t>
  </si>
  <si>
    <t>tb</t>
  </si>
  <si>
    <t>cin</t>
  </si>
  <si>
    <t>min</t>
  </si>
  <si>
    <t>phi</t>
  </si>
  <si>
    <t>ind</t>
  </si>
  <si>
    <t>was</t>
  </si>
  <si>
    <t>ari</t>
  </si>
  <si>
    <t>kc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</si>
</sst>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FF0000"/>
      <name val="Calibri"/>
      <family val="2"/>
    </font>
    <font>
      <sz val="11"/>
      <color rgb="FF305496"/>
      <name val="Calibri"/>
      <family val="2"/>
    </font>
    <font>
      <sz val="11"/>
      <color rgb="FFFFFF00"/>
      <name val="Calibri"/>
      <family val="2"/>
    </font>
    <font>
      <sz val="11"/>
      <color rgb="FFFFC000"/>
      <name val="Calibri"/>
      <family val="2"/>
    </font>
    <font>
      <sz val="11"/>
      <color rgb="FFA6A6A6"/>
      <name val="Calibri"/>
      <family val="2"/>
    </font>
    <font>
      <sz val="11"/>
      <color rgb="FF81723B"/>
      <name val="Calibri"/>
      <family val="2"/>
    </font>
    <font>
      <sz val="11"/>
      <color rgb="FF92D050"/>
      <name val="Calibri"/>
      <family val="2"/>
    </font>
    <font>
      <sz val="11"/>
      <color rgb="FF000000"/>
      <name val="Calibri"/>
    </font>
    <font>
      <b/>
      <sz val="11"/>
      <color theme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6ABD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theme="1"/>
      </bottom>
      <diagonal/>
    </border>
    <border>
      <left/>
      <right style="thick">
        <color indexed="64"/>
      </right>
      <top style="thick">
        <color indexed="64"/>
      </top>
      <bottom style="medium">
        <color theme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0" borderId="0"/>
    <xf numFmtId="0" fontId="3" fillId="0" borderId="0"/>
  </cellStyleXfs>
  <cellXfs count="417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4" xfId="0" applyFill="1" applyBorder="1"/>
    <xf numFmtId="0" fontId="0" fillId="0" borderId="1" xfId="0" applyFill="1" applyBorder="1"/>
    <xf numFmtId="0" fontId="1" fillId="0" borderId="4" xfId="0" applyFont="1" applyBorder="1"/>
    <xf numFmtId="0" fontId="1" fillId="0" borderId="5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1" fillId="0" borderId="6" xfId="0" applyFont="1" applyBorder="1"/>
    <xf numFmtId="0" fontId="1" fillId="0" borderId="8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2" xfId="0" applyFont="1" applyBorder="1"/>
    <xf numFmtId="0" fontId="1" fillId="0" borderId="6" xfId="0" applyFont="1" applyFill="1" applyBorder="1" applyAlignment="1">
      <alignment horizontal="right"/>
    </xf>
    <xf numFmtId="0" fontId="0" fillId="2" borderId="14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1" xfId="0" applyFill="1" applyBorder="1"/>
    <xf numFmtId="0" fontId="0" fillId="0" borderId="15" xfId="0" applyBorder="1"/>
    <xf numFmtId="0" fontId="0" fillId="0" borderId="16" xfId="0" applyBorder="1"/>
    <xf numFmtId="0" fontId="0" fillId="2" borderId="1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3" xfId="0" applyFont="1" applyBorder="1"/>
    <xf numFmtId="0" fontId="0" fillId="4" borderId="13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12" xfId="0" applyFont="1" applyFill="1" applyBorder="1"/>
    <xf numFmtId="0" fontId="1" fillId="4" borderId="5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0" fillId="0" borderId="0" xfId="0" applyFill="1"/>
    <xf numFmtId="0" fontId="0" fillId="0" borderId="8" xfId="0" applyFill="1" applyBorder="1"/>
    <xf numFmtId="0" fontId="2" fillId="3" borderId="12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4" borderId="19" xfId="0" applyFont="1" applyFill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5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0" xfId="0" applyFont="1" applyBorder="1"/>
    <xf numFmtId="0" fontId="4" fillId="0" borderId="0" xfId="2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4" borderId="5" xfId="0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2" fillId="3" borderId="17" xfId="0" applyFont="1" applyFill="1" applyBorder="1"/>
    <xf numFmtId="0" fontId="0" fillId="0" borderId="8" xfId="0" applyBorder="1" applyAlignment="1">
      <alignment horizontal="center"/>
    </xf>
    <xf numFmtId="0" fontId="0" fillId="0" borderId="6" xfId="0" applyFill="1" applyBorder="1"/>
    <xf numFmtId="0" fontId="0" fillId="0" borderId="9" xfId="0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right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" fillId="4" borderId="7" xfId="0" applyFon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1" xfId="0" applyFont="1" applyBorder="1"/>
    <xf numFmtId="0" fontId="0" fillId="4" borderId="11" xfId="0" applyFont="1" applyFill="1" applyBorder="1"/>
    <xf numFmtId="0" fontId="0" fillId="0" borderId="2" xfId="0" applyFont="1" applyBorder="1"/>
    <xf numFmtId="0" fontId="0" fillId="0" borderId="11" xfId="0" applyBorder="1"/>
    <xf numFmtId="0" fontId="2" fillId="3" borderId="31" xfId="0" applyFont="1" applyFill="1" applyBorder="1"/>
    <xf numFmtId="0" fontId="2" fillId="3" borderId="32" xfId="0" applyFont="1" applyFill="1" applyBorder="1"/>
    <xf numFmtId="0" fontId="2" fillId="3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 applyAlignment="1">
      <alignment horizontal="right"/>
    </xf>
    <xf numFmtId="0" fontId="0" fillId="0" borderId="36" xfId="0" applyFont="1" applyBorder="1"/>
    <xf numFmtId="0" fontId="0" fillId="4" borderId="36" xfId="0" applyFont="1" applyFill="1" applyBorder="1"/>
    <xf numFmtId="0" fontId="0" fillId="0" borderId="37" xfId="0" applyFont="1" applyBorder="1"/>
    <xf numFmtId="0" fontId="1" fillId="0" borderId="5" xfId="0" applyFont="1" applyFill="1" applyBorder="1" applyAlignment="1">
      <alignment horizontal="center"/>
    </xf>
    <xf numFmtId="0" fontId="3" fillId="5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3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Border="1"/>
    <xf numFmtId="0" fontId="6" fillId="3" borderId="0" xfId="3" applyNumberFormat="1" applyFont="1" applyFill="1" applyBorder="1"/>
    <xf numFmtId="0" fontId="6" fillId="3" borderId="0" xfId="0" applyNumberFormat="1" applyFont="1" applyFill="1"/>
    <xf numFmtId="0" fontId="1" fillId="0" borderId="22" xfId="0" applyFont="1" applyBorder="1"/>
    <xf numFmtId="0" fontId="0" fillId="0" borderId="22" xfId="0" applyBorder="1"/>
    <xf numFmtId="0" fontId="2" fillId="3" borderId="8" xfId="0" applyFont="1" applyFill="1" applyBorder="1" applyAlignment="1">
      <alignment horizontal="center"/>
    </xf>
    <xf numFmtId="6" fontId="1" fillId="0" borderId="0" xfId="0" applyNumberFormat="1" applyFont="1" applyBorder="1"/>
    <xf numFmtId="0" fontId="0" fillId="0" borderId="38" xfId="0" applyFont="1" applyBorder="1"/>
    <xf numFmtId="0" fontId="1" fillId="4" borderId="38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1" xfId="0" applyFill="1" applyBorder="1"/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0" xfId="0" applyFont="1" applyBorder="1" applyAlignment="1">
      <alignment horizontal="center"/>
    </xf>
    <xf numFmtId="0" fontId="0" fillId="0" borderId="11" xfId="0" applyBorder="1"/>
    <xf numFmtId="0" fontId="2" fillId="3" borderId="8" xfId="0" applyFont="1" applyFill="1" applyBorder="1" applyAlignment="1">
      <alignment horizontal="center"/>
    </xf>
    <xf numFmtId="0" fontId="6" fillId="3" borderId="1" xfId="3" applyNumberFormat="1" applyFont="1" applyFill="1" applyBorder="1"/>
    <xf numFmtId="0" fontId="0" fillId="0" borderId="23" xfId="0" applyBorder="1"/>
    <xf numFmtId="0" fontId="1" fillId="0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44" fontId="0" fillId="0" borderId="13" xfId="4" applyFont="1" applyFill="1" applyBorder="1"/>
    <xf numFmtId="0" fontId="2" fillId="3" borderId="2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3" xfId="4" applyFont="1" applyFill="1" applyBorder="1"/>
    <xf numFmtId="0" fontId="0" fillId="0" borderId="14" xfId="0" applyFont="1" applyBorder="1"/>
    <xf numFmtId="0" fontId="1" fillId="4" borderId="6" xfId="0" applyFont="1" applyFill="1" applyBorder="1"/>
    <xf numFmtId="0" fontId="2" fillId="3" borderId="8" xfId="0" applyFont="1" applyFill="1" applyBorder="1"/>
    <xf numFmtId="0" fontId="2" fillId="3" borderId="4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1" xfId="0" applyFill="1" applyBorder="1"/>
    <xf numFmtId="44" fontId="0" fillId="0" borderId="13" xfId="4" applyFont="1" applyFill="1" applyBorder="1"/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1" fillId="0" borderId="0" xfId="0" applyFont="1" applyFill="1" applyBorder="1" applyAlignment="1">
      <alignment horizontal="center"/>
    </xf>
    <xf numFmtId="0" fontId="0" fillId="0" borderId="16" xfId="0" applyBorder="1"/>
    <xf numFmtId="0" fontId="0" fillId="0" borderId="13" xfId="0" applyFont="1" applyBorder="1"/>
    <xf numFmtId="0" fontId="0" fillId="4" borderId="13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ill="1" applyBorder="1"/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4" borderId="3" xfId="0" applyFont="1" applyFill="1" applyBorder="1"/>
    <xf numFmtId="0" fontId="0" fillId="0" borderId="16" xfId="0" applyFill="1" applyBorder="1"/>
    <xf numFmtId="0" fontId="0" fillId="0" borderId="16" xfId="0" applyNumberFormat="1" applyFill="1" applyBorder="1"/>
    <xf numFmtId="0" fontId="0" fillId="0" borderId="16" xfId="0" applyNumberForma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44" fontId="0" fillId="0" borderId="0" xfId="4" applyFont="1" applyFill="1" applyBorder="1" applyAlignment="1">
      <alignment horizontal="center"/>
    </xf>
    <xf numFmtId="0" fontId="0" fillId="0" borderId="9" xfId="0" applyFont="1" applyBorder="1"/>
    <xf numFmtId="0" fontId="0" fillId="4" borderId="0" xfId="0" applyFont="1" applyFill="1" applyBorder="1"/>
    <xf numFmtId="0" fontId="0" fillId="0" borderId="0" xfId="0" applyFont="1" applyBorder="1"/>
    <xf numFmtId="0" fontId="1" fillId="0" borderId="3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44" fontId="0" fillId="0" borderId="0" xfId="4" applyFont="1"/>
    <xf numFmtId="0" fontId="0" fillId="0" borderId="0" xfId="0"/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2" xfId="0" applyBorder="1"/>
    <xf numFmtId="0" fontId="0" fillId="0" borderId="0" xfId="0" applyAlignment="1">
      <alignment horizontal="center"/>
    </xf>
    <xf numFmtId="0" fontId="0" fillId="0" borderId="3" xfId="0" applyFont="1" applyBorder="1"/>
    <xf numFmtId="0" fontId="0" fillId="0" borderId="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1" fillId="4" borderId="9" xfId="0" applyFont="1" applyFill="1" applyBorder="1" applyAlignment="1">
      <alignment horizontal="right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" fillId="4" borderId="7" xfId="0" applyFont="1" applyFill="1" applyBorder="1" applyAlignment="1">
      <alignment horizontal="right"/>
    </xf>
    <xf numFmtId="0" fontId="0" fillId="0" borderId="11" xfId="0" applyFont="1" applyBorder="1"/>
    <xf numFmtId="0" fontId="0" fillId="4" borderId="11" xfId="0" applyFont="1" applyFill="1" applyBorder="1"/>
    <xf numFmtId="0" fontId="0" fillId="0" borderId="27" xfId="0" applyFont="1" applyBorder="1" applyAlignment="1">
      <alignment horizontal="center"/>
    </xf>
    <xf numFmtId="0" fontId="0" fillId="0" borderId="38" xfId="0" applyFont="1" applyBorder="1"/>
    <xf numFmtId="44" fontId="0" fillId="0" borderId="7" xfId="4" applyFont="1" applyBorder="1" applyAlignment="1">
      <alignment horizontal="center"/>
    </xf>
    <xf numFmtId="44" fontId="0" fillId="0" borderId="1" xfId="4" applyFont="1" applyBorder="1" applyAlignment="1">
      <alignment horizontal="center"/>
    </xf>
    <xf numFmtId="44" fontId="0" fillId="0" borderId="41" xfId="4" applyFont="1" applyBorder="1" applyAlignment="1">
      <alignment horizontal="center"/>
    </xf>
    <xf numFmtId="0" fontId="0" fillId="4" borderId="2" xfId="0" applyFont="1" applyFill="1" applyBorder="1"/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4" borderId="43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Fill="1" applyBorder="1"/>
    <xf numFmtId="0" fontId="1" fillId="4" borderId="5" xfId="0" applyFont="1" applyFill="1" applyBorder="1" applyAlignment="1">
      <alignment horizontal="center"/>
    </xf>
    <xf numFmtId="0" fontId="0" fillId="0" borderId="13" xfId="0" applyFont="1" applyBorder="1"/>
    <xf numFmtId="0" fontId="0" fillId="4" borderId="13" xfId="0" applyFont="1" applyFill="1" applyBorder="1"/>
    <xf numFmtId="0" fontId="1" fillId="4" borderId="5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1" fillId="4" borderId="19" xfId="0" applyFont="1" applyFill="1" applyBorder="1" applyAlignment="1">
      <alignment horizontal="right"/>
    </xf>
    <xf numFmtId="0" fontId="0" fillId="0" borderId="14" xfId="0" applyFont="1" applyBorder="1"/>
    <xf numFmtId="0" fontId="0" fillId="4" borderId="3" xfId="0" applyFont="1" applyFill="1" applyBorder="1"/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4" borderId="13" xfId="0" applyFont="1" applyFill="1" applyBorder="1"/>
    <xf numFmtId="0" fontId="0" fillId="4" borderId="3" xfId="0" applyFont="1" applyFill="1" applyBorder="1"/>
    <xf numFmtId="0" fontId="0" fillId="0" borderId="48" xfId="0" applyFill="1" applyBorder="1"/>
    <xf numFmtId="0" fontId="0" fillId="0" borderId="12" xfId="0" applyBorder="1" applyAlignment="1">
      <alignment horizontal="center"/>
    </xf>
    <xf numFmtId="0" fontId="0" fillId="0" borderId="48" xfId="0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/>
    <xf numFmtId="0" fontId="0" fillId="0" borderId="0" xfId="0"/>
    <xf numFmtId="6" fontId="0" fillId="15" borderId="0" xfId="0" applyNumberFormat="1" applyFill="1" applyAlignment="1">
      <alignment horizontal="center"/>
    </xf>
    <xf numFmtId="6" fontId="0" fillId="6" borderId="0" xfId="0" applyNumberFormat="1" applyFill="1" applyAlignment="1">
      <alignment horizontal="center"/>
    </xf>
    <xf numFmtId="0" fontId="0" fillId="6" borderId="16" xfId="0" applyFill="1" applyBorder="1"/>
    <xf numFmtId="0" fontId="16" fillId="0" borderId="12" xfId="0" applyFont="1" applyBorder="1" applyAlignment="1">
      <alignment horizontal="center"/>
    </xf>
    <xf numFmtId="0" fontId="1" fillId="0" borderId="49" xfId="0" applyFont="1" applyBorder="1"/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6" fillId="3" borderId="0" xfId="0" applyNumberFormat="1" applyFont="1" applyFill="1"/>
    <xf numFmtId="0" fontId="0" fillId="0" borderId="22" xfId="0" applyBorder="1"/>
    <xf numFmtId="0" fontId="0" fillId="0" borderId="39" xfId="0" applyBorder="1"/>
    <xf numFmtId="164" fontId="0" fillId="0" borderId="39" xfId="3" applyNumberFormat="1" applyFont="1" applyBorder="1"/>
    <xf numFmtId="9" fontId="0" fillId="0" borderId="50" xfId="3" applyFont="1" applyBorder="1"/>
    <xf numFmtId="0" fontId="0" fillId="0" borderId="51" xfId="0" applyFont="1" applyBorder="1" applyAlignment="1">
      <alignment horizontal="center"/>
    </xf>
    <xf numFmtId="0" fontId="0" fillId="4" borderId="5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14" xfId="0" applyFont="1" applyBorder="1"/>
    <xf numFmtId="0" fontId="0" fillId="0" borderId="51" xfId="0" applyFont="1" applyBorder="1"/>
    <xf numFmtId="0" fontId="0" fillId="4" borderId="51" xfId="0" applyFont="1" applyFill="1" applyBorder="1"/>
    <xf numFmtId="0" fontId="0" fillId="0" borderId="0" xfId="0"/>
    <xf numFmtId="0" fontId="0" fillId="0" borderId="47" xfId="0" applyFont="1" applyBorder="1" applyAlignment="1">
      <alignment horizontal="center"/>
    </xf>
    <xf numFmtId="0" fontId="0" fillId="0" borderId="1" xfId="0" applyFont="1" applyBorder="1"/>
    <xf numFmtId="0" fontId="0" fillId="4" borderId="1" xfId="0" applyFont="1" applyFill="1" applyBorder="1"/>
    <xf numFmtId="0" fontId="0" fillId="4" borderId="8" xfId="0" applyFont="1" applyFill="1" applyBorder="1"/>
    <xf numFmtId="0" fontId="1" fillId="0" borderId="53" xfId="0" applyFont="1" applyBorder="1"/>
    <xf numFmtId="2" fontId="0" fillId="0" borderId="54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0" fontId="3" fillId="5" borderId="52" xfId="1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3" fillId="5" borderId="54" xfId="1" applyFont="1" applyFill="1" applyBorder="1" applyAlignment="1">
      <alignment horizontal="center"/>
    </xf>
    <xf numFmtId="0" fontId="0" fillId="0" borderId="56" xfId="0" applyBorder="1"/>
    <xf numFmtId="0" fontId="0" fillId="0" borderId="56" xfId="0" applyFill="1" applyBorder="1"/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1" fillId="0" borderId="19" xfId="0" applyFont="1" applyFill="1" applyBorder="1" applyAlignment="1">
      <alignment horizontal="right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Fill="1" applyBorder="1"/>
    <xf numFmtId="0" fontId="0" fillId="0" borderId="57" xfId="0" applyBorder="1"/>
    <xf numFmtId="0" fontId="0" fillId="0" borderId="61" xfId="0" applyBorder="1" applyAlignment="1">
      <alignment horizontal="center"/>
    </xf>
    <xf numFmtId="0" fontId="0" fillId="0" borderId="53" xfId="0" applyBorder="1" applyAlignment="1">
      <alignment horizontal="center"/>
    </xf>
    <xf numFmtId="0" fontId="3" fillId="5" borderId="53" xfId="1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8" xfId="0" applyFont="1" applyBorder="1"/>
    <xf numFmtId="0" fontId="0" fillId="0" borderId="8" xfId="0" applyFill="1" applyBorder="1" applyAlignment="1">
      <alignment horizontal="center"/>
    </xf>
    <xf numFmtId="0" fontId="15" fillId="5" borderId="52" xfId="5" applyFont="1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15" fillId="5" borderId="55" xfId="5" applyFont="1" applyFill="1" applyBorder="1" applyAlignment="1">
      <alignment horizontal="center"/>
    </xf>
    <xf numFmtId="0" fontId="15" fillId="5" borderId="56" xfId="5" applyFont="1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11" borderId="52" xfId="0" applyFont="1" applyFill="1" applyBorder="1" applyAlignment="1">
      <alignment horizontal="center" vertical="center"/>
    </xf>
    <xf numFmtId="0" fontId="10" fillId="9" borderId="52" xfId="0" applyFont="1" applyFill="1" applyBorder="1" applyAlignment="1">
      <alignment horizontal="center" vertical="center"/>
    </xf>
    <xf numFmtId="0" fontId="10" fillId="6" borderId="52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12" fillId="12" borderId="52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13" fillId="10" borderId="52" xfId="0" applyFont="1" applyFill="1" applyBorder="1" applyAlignment="1">
      <alignment horizontal="center" vertical="center"/>
    </xf>
    <xf numFmtId="0" fontId="10" fillId="12" borderId="52" xfId="0" applyFont="1" applyFill="1" applyBorder="1" applyAlignment="1">
      <alignment horizontal="center" vertical="center"/>
    </xf>
    <xf numFmtId="0" fontId="10" fillId="7" borderId="52" xfId="0" applyFont="1" applyFill="1" applyBorder="1" applyAlignment="1">
      <alignment horizontal="center" vertical="center"/>
    </xf>
    <xf numFmtId="0" fontId="3" fillId="13" borderId="52" xfId="0" applyFont="1" applyFill="1" applyBorder="1" applyAlignment="1">
      <alignment horizontal="center" vertical="center"/>
    </xf>
    <xf numFmtId="0" fontId="8" fillId="10" borderId="55" xfId="0" applyFont="1" applyFill="1" applyBorder="1" applyAlignment="1">
      <alignment horizontal="center" vertical="center"/>
    </xf>
    <xf numFmtId="0" fontId="14" fillId="14" borderId="56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4" borderId="13" xfId="0" applyFont="1" applyFill="1" applyBorder="1"/>
    <xf numFmtId="0" fontId="2" fillId="3" borderId="17" xfId="0" applyFont="1" applyFill="1" applyBorder="1" applyAlignment="1">
      <alignment horizontal="center"/>
    </xf>
    <xf numFmtId="0" fontId="6" fillId="3" borderId="0" xfId="0" applyNumberFormat="1" applyFont="1" applyFill="1"/>
    <xf numFmtId="0" fontId="0" fillId="0" borderId="22" xfId="0" applyBorder="1"/>
    <xf numFmtId="164" fontId="0" fillId="0" borderId="39" xfId="3" applyNumberFormat="1" applyFont="1" applyBorder="1"/>
    <xf numFmtId="0" fontId="0" fillId="18" borderId="1" xfId="0" applyFill="1" applyBorder="1"/>
    <xf numFmtId="0" fontId="0" fillId="18" borderId="11" xfId="0" applyFont="1" applyFill="1" applyBorder="1"/>
    <xf numFmtId="0" fontId="0" fillId="17" borderId="1" xfId="0" applyFill="1" applyBorder="1"/>
    <xf numFmtId="0" fontId="0" fillId="17" borderId="11" xfId="0" applyFont="1" applyFill="1" applyBorder="1"/>
    <xf numFmtId="0" fontId="0" fillId="18" borderId="13" xfId="0" applyFont="1" applyFill="1" applyBorder="1"/>
    <xf numFmtId="0" fontId="0" fillId="16" borderId="13" xfId="0" applyFont="1" applyFill="1" applyBorder="1"/>
    <xf numFmtId="0" fontId="0" fillId="0" borderId="69" xfId="0" applyBorder="1"/>
    <xf numFmtId="0" fontId="0" fillId="0" borderId="70" xfId="0" applyBorder="1"/>
    <xf numFmtId="0" fontId="0" fillId="0" borderId="70" xfId="0" applyFill="1" applyBorder="1"/>
    <xf numFmtId="0" fontId="15" fillId="5" borderId="54" xfId="5" applyFont="1" applyFill="1" applyBorder="1" applyAlignment="1">
      <alignment horizontal="center"/>
    </xf>
    <xf numFmtId="0" fontId="0" fillId="17" borderId="13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0" xfId="0" applyFont="1" applyBorder="1"/>
    <xf numFmtId="0" fontId="0" fillId="4" borderId="70" xfId="0" applyFont="1" applyFill="1" applyBorder="1"/>
    <xf numFmtId="0" fontId="0" fillId="0" borderId="69" xfId="0" applyFont="1" applyBorder="1"/>
    <xf numFmtId="0" fontId="0" fillId="0" borderId="0" xfId="0" applyFill="1" applyBorder="1"/>
    <xf numFmtId="0" fontId="0" fillId="0" borderId="5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6" fontId="0" fillId="19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18" borderId="7" xfId="0" applyFill="1" applyBorder="1"/>
    <xf numFmtId="0" fontId="0" fillId="0" borderId="73" xfId="0" applyBorder="1" applyAlignment="1">
      <alignment horizontal="center"/>
    </xf>
    <xf numFmtId="0" fontId="0" fillId="0" borderId="72" xfId="0" applyBorder="1"/>
    <xf numFmtId="0" fontId="0" fillId="0" borderId="71" xfId="0" applyBorder="1"/>
    <xf numFmtId="0" fontId="0" fillId="0" borderId="71" xfId="0" applyFill="1" applyBorder="1"/>
    <xf numFmtId="0" fontId="0" fillId="0" borderId="74" xfId="0" applyFill="1" applyBorder="1"/>
    <xf numFmtId="0" fontId="0" fillId="0" borderId="72" xfId="0" applyFont="1" applyBorder="1"/>
    <xf numFmtId="0" fontId="0" fillId="4" borderId="71" xfId="0" applyFont="1" applyFill="1" applyBorder="1"/>
    <xf numFmtId="0" fontId="0" fillId="0" borderId="71" xfId="0" applyFont="1" applyBorder="1"/>
    <xf numFmtId="0" fontId="0" fillId="4" borderId="74" xfId="0" applyFont="1" applyFill="1" applyBorder="1"/>
    <xf numFmtId="0" fontId="0" fillId="0" borderId="75" xfId="0" applyBorder="1" applyAlignment="1">
      <alignment horizontal="center"/>
    </xf>
    <xf numFmtId="0" fontId="1" fillId="0" borderId="38" xfId="0" applyFont="1" applyBorder="1"/>
    <xf numFmtId="0" fontId="0" fillId="0" borderId="59" xfId="0" applyBorder="1"/>
    <xf numFmtId="0" fontId="2" fillId="3" borderId="59" xfId="0" applyFont="1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1" fillId="0" borderId="76" xfId="0" applyFont="1" applyFill="1" applyBorder="1" applyAlignment="1">
      <alignment horizontal="right"/>
    </xf>
    <xf numFmtId="0" fontId="1" fillId="0" borderId="77" xfId="0" applyFont="1" applyFill="1" applyBorder="1" applyAlignment="1">
      <alignment horizontal="right"/>
    </xf>
    <xf numFmtId="0" fontId="1" fillId="4" borderId="77" xfId="0" applyFont="1" applyFill="1" applyBorder="1" applyAlignment="1">
      <alignment horizontal="right"/>
    </xf>
    <xf numFmtId="0" fontId="1" fillId="0" borderId="78" xfId="0" applyFont="1" applyFill="1" applyBorder="1" applyAlignment="1">
      <alignment horizontal="right"/>
    </xf>
    <xf numFmtId="0" fontId="0" fillId="0" borderId="58" xfId="0" applyBorder="1"/>
    <xf numFmtId="0" fontId="0" fillId="2" borderId="1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6" fontId="0" fillId="20" borderId="0" xfId="0" applyNumberFormat="1" applyFill="1" applyAlignment="1">
      <alignment horizontal="center"/>
    </xf>
  </cellXfs>
  <cellStyles count="7">
    <cellStyle name="Currency" xfId="4" builtinId="4"/>
    <cellStyle name="Hyperlink" xfId="2" builtinId="8"/>
    <cellStyle name="Normal" xfId="0" builtinId="0"/>
    <cellStyle name="Normal 2" xfId="1"/>
    <cellStyle name="Normal 3" xfId="5"/>
    <cellStyle name="Normal 3 2" xfId="6"/>
    <cellStyle name="Percent" xfId="3" builtinId="5"/>
  </cellStyles>
  <dxfs count="4125"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>
          <bgColor rgb="FFFFFF00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/>
      </border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ck">
          <color indexed="64"/>
        </right>
        <top style="thick">
          <color auto="1"/>
        </top>
        <bottom style="thick">
          <color auto="1"/>
        </bottom>
        <vertical/>
        <horizontal style="thick">
          <color auto="1"/>
        </horizontal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auto="1"/>
        </top>
        <bottom style="thick">
          <color auto="1"/>
        </bottom>
        <vertical/>
        <horizontal style="thick">
          <color auto="1"/>
        </horizontal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indexed="64"/>
        </right>
        <top/>
        <bottom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numFmt numFmtId="0" formatCode="General"/>
      <border diagonalUp="0" diagonalDown="0">
        <left/>
        <right style="thick">
          <color indexed="64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0" formatCode="General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top style="medium">
          <color indexed="64"/>
        </top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auto="1"/>
        </top>
        <bottom style="thick">
          <color auto="1"/>
        </bottom>
        <vertical/>
        <horizontal style="thick">
          <color auto="1"/>
        </horizontal>
      </border>
    </dxf>
    <dxf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thick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theme="2" tint="-9.9948118533890809E-2"/>
      </font>
      <fill>
        <patternFill>
          <bgColor theme="1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gradientFill degree="90">
          <stop position="0">
            <color theme="2" tint="-9.8025452436902985E-2"/>
          </stop>
          <stop position="0.5">
            <color theme="9" tint="-0.25098422193060094"/>
          </stop>
          <stop position="1">
            <color theme="2" tint="-9.8025452436902985E-2"/>
          </stop>
        </gradient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theme="2" tint="-9.9948118533890809E-2"/>
      </font>
      <fill>
        <patternFill>
          <fgColor auto="1"/>
          <bgColor theme="1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theme="4" tint="-0.24994659260841701"/>
      </font>
      <fill>
        <patternFill>
          <bgColor rgb="FF92D050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color rgb="FFFFC000"/>
      </font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theme="5"/>
      </font>
      <fill>
        <patternFill>
          <bgColor theme="5" tint="-0.499984740745262"/>
        </patternFill>
      </fill>
    </dxf>
    <dxf>
      <font>
        <color theme="7" tint="0.39994506668294322"/>
      </font>
      <fill>
        <patternFill>
          <bgColor rgb="FF8E0000"/>
        </patternFill>
      </fill>
    </dxf>
    <dxf>
      <font>
        <color theme="4" tint="-0.24994659260841701"/>
      </font>
      <fill>
        <patternFill>
          <bgColor rgb="FFFF0000"/>
        </patternFill>
      </fill>
    </dxf>
    <dxf>
      <font>
        <color rgb="FFFF0000"/>
      </font>
      <fill>
        <patternFill>
          <bgColor rgb="FF002060"/>
        </patternFill>
      </fill>
    </dxf>
    <dxf>
      <font>
        <color rgb="FF92D05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9" tint="-0.499984740745262"/>
        </patternFill>
      </fill>
    </dxf>
    <dxf>
      <fill>
        <patternFill>
          <bgColor rgb="FF81723B"/>
        </patternFill>
      </fill>
    </dxf>
    <dxf>
      <font>
        <color theme="0"/>
      </font>
      <fill>
        <patternFill>
          <bgColor theme="8" tint="-0.24994659260841701"/>
        </patternFill>
      </fill>
    </dxf>
    <dxf>
      <fill>
        <patternFill>
          <bgColor rgb="FF76ABDC"/>
        </patternFill>
      </fill>
    </dxf>
    <dxf>
      <font>
        <color rgb="FFFF0000"/>
      </font>
      <fill>
        <patternFill>
          <bgColor theme="1"/>
        </patternFill>
      </fill>
    </dxf>
    <dxf>
      <font>
        <color theme="4"/>
      </font>
      <fill>
        <patternFill>
          <bgColor theme="2" tint="-9.9948118533890809E-2"/>
        </patternFill>
      </fill>
    </dxf>
    <dxf>
      <font>
        <color theme="5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theme="8" tint="-0.24994659260841701"/>
        </patternFill>
      </fill>
    </dxf>
    <dxf>
      <font>
        <color theme="0" tint="-0.24994659260841701"/>
      </font>
      <fill>
        <patternFill>
          <bgColor theme="1"/>
        </patternFill>
      </fill>
    </dxf>
    <dxf>
      <font>
        <color rgb="FF81723B"/>
      </font>
      <fill>
        <patternFill>
          <bgColor rgb="FF7030A0"/>
        </patternFill>
      </fill>
    </dxf>
    <dxf>
      <font>
        <color theme="8" tint="-0.24994659260841701"/>
      </font>
      <fill>
        <patternFill>
          <bgColor rgb="FFFF7A01"/>
        </patternFill>
      </fill>
    </dxf>
    <dxf>
      <fill>
        <patternFill>
          <bgColor rgb="FFC00000"/>
        </patternFill>
      </fill>
    </dxf>
    <dxf>
      <font>
        <color theme="8" tint="-0.24994659260841701"/>
      </font>
      <fill>
        <patternFill>
          <bgColor theme="0"/>
        </patternFill>
      </fill>
    </dxf>
    <dxf>
      <font>
        <color rgb="FF81723B"/>
      </font>
      <fill>
        <patternFill>
          <bgColor rgb="FFC00000"/>
        </patternFill>
      </fill>
    </dxf>
    <dxf>
      <font>
        <color rgb="FF81723B"/>
      </font>
      <fill>
        <patternFill>
          <bgColor theme="1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FFFF0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0000"/>
      </font>
      <fill>
        <gradientFill type="path" left="0.5" right="0.5" top="0.5" bottom="0.5">
          <stop position="0">
            <color theme="0"/>
          </stop>
          <stop position="1">
            <color theme="4" tint="-0.25098422193060094"/>
          </stop>
        </gradientFill>
      </fill>
    </dxf>
    <dxf>
      <font>
        <color rgb="FFFFFF00"/>
      </font>
      <fill>
        <patternFill>
          <bgColor rgb="FF7030A0"/>
        </patternFill>
      </fill>
    </dxf>
    <dxf>
      <font>
        <color rgb="FFFFFF00"/>
      </font>
      <fill>
        <patternFill>
          <bgColor theme="9" tint="-0.499984740745262"/>
        </patternFill>
      </fill>
    </dxf>
    <dxf>
      <font>
        <color theme="0" tint="-0.34998626667073579"/>
      </font>
      <fill>
        <patternFill>
          <bgColor theme="9" tint="-0.499984740745262"/>
        </patternFill>
      </fill>
    </dxf>
  </dxfs>
  <tableStyles count="0" defaultTableStyle="TableStyleMedium2" defaultPivotStyle="PivotStyleLight16"/>
  <colors>
    <mruColors>
      <color rgb="FF81723B"/>
      <color rgb="FFFF7A01"/>
      <color rgb="FF76ABDC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76201</xdr:colOff>
      <xdr:row>4</xdr:row>
      <xdr:rowOff>194731</xdr:rowOff>
    </xdr:from>
    <xdr:to>
      <xdr:col>23</xdr:col>
      <xdr:colOff>25401</xdr:colOff>
      <xdr:row>19</xdr:row>
      <xdr:rowOff>-1</xdr:rowOff>
    </xdr:to>
    <xdr:sp macro="" textlink="">
      <xdr:nvSpPr>
        <xdr:cNvPr id="2" name="TextBox 1"/>
        <xdr:cNvSpPr txBox="1"/>
      </xdr:nvSpPr>
      <xdr:spPr>
        <a:xfrm>
          <a:off x="13222417" y="924123"/>
          <a:ext cx="2386227" cy="2002025"/>
        </a:xfrm>
        <a:prstGeom prst="rect">
          <a:avLst/>
        </a:prstGeom>
        <a:solidFill>
          <a:schemeClr val="accent6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Anyone tied</a:t>
          </a:r>
          <a:r>
            <a:rPr lang="en-US" sz="1100" baseline="0"/>
            <a:t> for the lead</a:t>
          </a:r>
          <a:r>
            <a:rPr lang="en-US" sz="1100"/>
            <a:t> or within one</a:t>
          </a:r>
          <a:r>
            <a:rPr lang="en-US" sz="1100" baseline="0"/>
            <a:t> game of the lead for the week has the option to change MNF pick for an extra $5. Must be paid before kickoff.</a:t>
          </a:r>
        </a:p>
        <a:p>
          <a:endParaRPr lang="en-US" sz="1100" baseline="0"/>
        </a:p>
        <a:p>
          <a:r>
            <a:rPr lang="en-US" sz="1100" baseline="0"/>
            <a:t>Commissioner will not disclose decisions until kickoff.</a:t>
          </a:r>
        </a:p>
        <a:p>
          <a:endParaRPr lang="en-US" sz="1100" baseline="0"/>
        </a:p>
        <a:p>
          <a:r>
            <a:rPr lang="en-US" sz="1100" baseline="0"/>
            <a:t>MNF switch total is split 60/40 into the overall prize for 1st and 2nd.</a:t>
          </a:r>
        </a:p>
        <a:p>
          <a:br>
            <a:rPr lang="en-US" sz="1100" baseline="0"/>
          </a:br>
          <a:endParaRPr lang="en-US" sz="1100" baseline="0"/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B4:R14" totalsRowShown="0" headerRowDxfId="4092" dataDxfId="4090" headerRowBorderDxfId="4091" tableBorderDxfId="4089">
  <tableColumns count="17">
    <tableColumn id="1" name="Matchup" dataDxfId="4088"/>
    <tableColumn id="2" name="CAR@DEN"/>
    <tableColumn id="3" name="TB@ATL"/>
    <tableColumn id="4" name="MIN@TN"/>
    <tableColumn id="5" name="SD@KC"/>
    <tableColumn id="6" name="OAK@NO"/>
    <tableColumn id="7" name="CIN@NYJ"/>
    <tableColumn id="8" name="CLE@PHI"/>
    <tableColumn id="9" name="GB@JAX"/>
    <tableColumn id="10" name="BUF@BAL"/>
    <tableColumn id="11" name="CHI@HOU" dataDxfId="4087"/>
    <tableColumn id="12" name="MIA@SEA" dataDxfId="4086"/>
    <tableColumn id="13" name="NYG@DAL" dataDxfId="4085"/>
    <tableColumn id="14" name="DET@IND" dataDxfId="4084"/>
    <tableColumn id="15" name="NE@AZ" dataDxfId="4083"/>
    <tableColumn id="16" name="PIT@WAS" dataDxfId="4082"/>
    <tableColumn id="17" name="LA@SF" dataDxfId="4081"/>
  </tableColumns>
  <tableStyleInfo name="TableStyleMedium21" showFirstColumn="0" showLastColumn="0" showRowStripes="1" showColumnStripes="0"/>
</table>
</file>

<file path=xl/tables/table10.xml><?xml version="1.0" encoding="utf-8"?>
<table xmlns="http://schemas.openxmlformats.org/spreadsheetml/2006/main" id="15" name="Table41281416" displayName="Table41281416" ref="B4:R15" totalsRowShown="0" headerRowDxfId="3753" dataDxfId="3751" headerRowBorderDxfId="3752" tableBorderDxfId="3750">
  <tableColumns count="17">
    <tableColumn id="1" name="Matchup" dataDxfId="3749"/>
    <tableColumn id="2" name="DEN@SD"/>
    <tableColumn id="3" name="SF@BUF"/>
    <tableColumn id="4" name="PHI@WAS"/>
    <tableColumn id="5" name="CLE@TEN"/>
    <tableColumn id="6" name="BAL@NYG"/>
    <tableColumn id="7" name="CAR@NO"/>
    <tableColumn id="8" name="JAX@CHI"/>
    <tableColumn id="9" name="LA@DET"/>
    <tableColumn id="10" name="PIT@MIA" dataDxfId="3748"/>
    <tableColumn id="11" name="CIN@NE" dataDxfId="3747"/>
    <tableColumn id="12" name="KC@OAK" dataDxfId="3746"/>
    <tableColumn id="13" name="ATL@SEA" dataDxfId="3745"/>
    <tableColumn id="14" name="DAL@GB" dataDxfId="3744"/>
    <tableColumn id="15" name="IND@HOU" dataDxfId="3743"/>
    <tableColumn id="16" name="NYJ@ARI" dataDxfId="3742"/>
    <tableColumn id="17" name="Bye Week" dataDxfId="3741"/>
  </tableColumns>
  <tableStyleInfo name="TableStyleMedium21" showFirstColumn="0" showLastColumn="0" showRowStripes="1" showColumnStripes="0"/>
</table>
</file>

<file path=xl/tables/table11.xml><?xml version="1.0" encoding="utf-8"?>
<table xmlns="http://schemas.openxmlformats.org/spreadsheetml/2006/main" id="10" name="Table4128141611" displayName="Table4128141611" ref="B4:R15" totalsRowShown="0" headerRowDxfId="3580" dataDxfId="3578" headerRowBorderDxfId="3579" tableBorderDxfId="3577">
  <tableColumns count="17">
    <tableColumn id="1" name="Matchup" dataDxfId="3576"/>
    <tableColumn id="2" name="CHI@GB"/>
    <tableColumn id="3" name="NYG@LA"/>
    <tableColumn id="4" name="NO@KC"/>
    <tableColumn id="5" name="IND@TEN"/>
    <tableColumn id="6" name="MIN@PHI"/>
    <tableColumn id="7" name="CLE@CIN"/>
    <tableColumn id="8" name="WAS@DET"/>
    <tableColumn id="9" name="OAK@JAX"/>
    <tableColumn id="10" name="BUF@MIA" dataDxfId="3575"/>
    <tableColumn id="11" name="BAL@NYJ" dataDxfId="3574"/>
    <tableColumn id="12" name="TB@SF" dataDxfId="3573"/>
    <tableColumn id="13" name="SD@ATL" dataDxfId="3572"/>
    <tableColumn id="14" name="NE@PIT" dataDxfId="3571"/>
    <tableColumn id="15" name="SEA@ARI" dataDxfId="3570"/>
    <tableColumn id="16" name="HOU@DEN" dataDxfId="3569"/>
    <tableColumn id="17" name="Bye Week" dataDxfId="3568"/>
  </tableColumns>
  <tableStyleInfo name="TableStyleMedium21" showFirstColumn="0" showLastColumn="0" showRowStripes="1" showColumnStripes="0"/>
</table>
</file>

<file path=xl/tables/table12.xml><?xml version="1.0" encoding="utf-8"?>
<table xmlns="http://schemas.openxmlformats.org/spreadsheetml/2006/main" id="17" name="Table4128141618" displayName="Table4128141618" ref="B4:R15" totalsRowShown="0" headerRowDxfId="3407" dataDxfId="3405" headerRowBorderDxfId="3406" tableBorderDxfId="3404">
  <tableColumns count="17">
    <tableColumn id="1" name="Matchup" dataDxfId="3403"/>
    <tableColumn id="2" name="JAX@TEN"/>
    <tableColumn id="3" name="WAS@CIN"/>
    <tableColumn id="4" name="DET@HOU"/>
    <tableColumn id="5" name="GB@ATL"/>
    <tableColumn id="6" name="KC@IND"/>
    <tableColumn id="7" name="NE@BUF"/>
    <tableColumn id="8" name="NYJ@CLE"/>
    <tableColumn id="9" name="OAK@TB"/>
    <tableColumn id="10" name="SEA@NO" dataDxfId="3402"/>
    <tableColumn id="11" name="SD@DEN" dataDxfId="3401"/>
    <tableColumn id="12" name="ARI@CAR" dataDxfId="3400"/>
    <tableColumn id="13" name="PHI@DAL" dataDxfId="3399"/>
    <tableColumn id="14" name="MIN@CHI" dataDxfId="3398"/>
    <tableColumn id="15" name="Column1" dataDxfId="3397"/>
    <tableColumn id="16" name="NYG@MIN" dataDxfId="3396"/>
    <tableColumn id="17" name="Bye Week" dataDxfId="3395"/>
  </tableColumns>
  <tableStyleInfo name="TableStyleMedium21" showFirstColumn="0" showLastColumn="0" showRowStripes="1" showColumnStripes="0"/>
</table>
</file>

<file path=xl/tables/table13.xml><?xml version="1.0" encoding="utf-8"?>
<table xmlns="http://schemas.openxmlformats.org/spreadsheetml/2006/main" id="18" name="Table4128141619" displayName="Table4128141619" ref="B4:R20" totalsRowShown="0" headerRowDxfId="3169" dataDxfId="3167" headerRowBorderDxfId="3168" tableBorderDxfId="3166">
  <tableColumns count="17">
    <tableColumn id="1" name="Matchup" dataDxfId="3165"/>
    <tableColumn id="2" name="ATL@TB"/>
    <tableColumn id="3" name="DAL@CLE"/>
    <tableColumn id="4" name="DET@MIN"/>
    <tableColumn id="5" name="JAX@KC"/>
    <tableColumn id="6" name="NYJ@MIA"/>
    <tableColumn id="7" name="PHI@NYG"/>
    <tableColumn id="8" name="PIT@BAL"/>
    <tableColumn id="9" name="CAR@LA"/>
    <tableColumn id="10" name="NO@SF" dataDxfId="3164"/>
    <tableColumn id="11" name="IND@GB" dataDxfId="3163"/>
    <tableColumn id="12" name="TEN@SD" dataDxfId="3162"/>
    <tableColumn id="13" name="DEN@OAK" dataDxfId="3161"/>
    <tableColumn id="14" name="BUF@SEA" dataDxfId="3160"/>
    <tableColumn id="15" name="TB@CAR" dataDxfId="3159"/>
    <tableColumn id="16" name="NYG@MIN" dataDxfId="3158"/>
    <tableColumn id="17" name="Bye Week" dataDxfId="3157"/>
  </tableColumns>
  <tableStyleInfo name="TableStyleMedium21" showFirstColumn="0" showLastColumn="0" showRowStripes="1" showColumnStripes="0"/>
</table>
</file>

<file path=xl/tables/table14.xml><?xml version="1.0" encoding="utf-8"?>
<table xmlns="http://schemas.openxmlformats.org/spreadsheetml/2006/main" id="16" name="Table16" displayName="Table16" ref="B23:O38" totalsRowShown="0" headerRowDxfId="3156" dataDxfId="3155" tableBorderDxfId="3154">
  <tableColumns count="14">
    <tableColumn id="1" name="Matchup" dataDxfId="3153"/>
    <tableColumn id="2" name="ATL@TB" dataDxfId="3152">
      <calculatedColumnFormula>IF(C5="",1,"-")</calculatedColumnFormula>
    </tableColumn>
    <tableColumn id="3" name="DAL@CLE" dataDxfId="3151">
      <calculatedColumnFormula>IF(D5="",1,"-")</calculatedColumnFormula>
    </tableColumn>
    <tableColumn id="4" name="DET@MIN" dataDxfId="3150">
      <calculatedColumnFormula>IF(E5="",1,"-")</calculatedColumnFormula>
    </tableColumn>
    <tableColumn id="5" name="JAX@KC" dataDxfId="3149">
      <calculatedColumnFormula>IF(F5="",1,"-")</calculatedColumnFormula>
    </tableColumn>
    <tableColumn id="6" name="NYJ@MIA" dataDxfId="3148">
      <calculatedColumnFormula>IF(G5="",1,"-")</calculatedColumnFormula>
    </tableColumn>
    <tableColumn id="7" name="PHI@NYG" dataDxfId="3147">
      <calculatedColumnFormula>IF(H5="",1,"-")</calculatedColumnFormula>
    </tableColumn>
    <tableColumn id="8" name="PIT@BAL" dataDxfId="3146">
      <calculatedColumnFormula>IF(I5="",1,"-")</calculatedColumnFormula>
    </tableColumn>
    <tableColumn id="9" name="CAR@LA" dataDxfId="3145">
      <calculatedColumnFormula>IF(J5="",1,"-")</calculatedColumnFormula>
    </tableColumn>
    <tableColumn id="10" name="NO@SF" dataDxfId="3144">
      <calculatedColumnFormula>IF(K5="",1,"-")</calculatedColumnFormula>
    </tableColumn>
    <tableColumn id="11" name="IND@GB" dataDxfId="3143">
      <calculatedColumnFormula>IF(L5="",1,"-")</calculatedColumnFormula>
    </tableColumn>
    <tableColumn id="12" name="TEN@SD" dataDxfId="3142">
      <calculatedColumnFormula>IF(M5="",1,"-")</calculatedColumnFormula>
    </tableColumn>
    <tableColumn id="13" name="DEN@OAK" dataDxfId="3141">
      <calculatedColumnFormula>IF(N5="",1,"-")</calculatedColumnFormula>
    </tableColumn>
    <tableColumn id="14" name="BUF@SEA" dataDxfId="3140">
      <calculatedColumnFormula>IF(O5="",1,"-")</calculatedColumnFormula>
    </tableColumn>
  </tableColumns>
  <tableStyleInfo name="TableStyleMedium21" showFirstColumn="0" showLastColumn="0" showRowStripes="1" showColumnStripes="0"/>
</table>
</file>

<file path=xl/tables/table15.xml><?xml version="1.0" encoding="utf-8"?>
<table xmlns="http://schemas.openxmlformats.org/spreadsheetml/2006/main" id="19" name="Table4128141620" displayName="Table4128141620" ref="B4:R20" totalsRowShown="0" headerRowDxfId="2915" dataDxfId="2913" headerRowBorderDxfId="2914" tableBorderDxfId="2912">
  <tableColumns count="17">
    <tableColumn id="1" name="Matchup" dataDxfId="2911"/>
    <tableColumn id="2" name="CLE@BAL"/>
    <tableColumn id="3" name="ATL@PHI"/>
    <tableColumn id="4" name="CHI@TB"/>
    <tableColumn id="5" name="DEN@NO"/>
    <tableColumn id="6" name="GB@TEN"/>
    <tableColumn id="7" name="HOU@JAX"/>
    <tableColumn id="8" name="KC@CAR"/>
    <tableColumn id="9" name="LA@NYJ"/>
    <tableColumn id="10" name="MIN@WAS" dataDxfId="2910"/>
    <tableColumn id="11" name="MIA@SD" dataDxfId="2909"/>
    <tableColumn id="12" name="DAL@PIT" dataDxfId="2908"/>
    <tableColumn id="13" name="SF@ARI" dataDxfId="2907"/>
    <tableColumn id="14" name="SEA@NE" dataDxfId="2906"/>
    <tableColumn id="15" name="CIN@NYG" dataDxfId="2905"/>
    <tableColumn id="16" name="NYG@MIN" dataDxfId="2904"/>
    <tableColumn id="17" name="Bye Week" dataDxfId="2903"/>
  </tableColumns>
  <tableStyleInfo name="TableStyleMedium21" showFirstColumn="0" showLastColumn="0" showRowStripes="1" showColumnStripes="0"/>
</table>
</file>

<file path=xl/tables/table16.xml><?xml version="1.0" encoding="utf-8"?>
<table xmlns="http://schemas.openxmlformats.org/spreadsheetml/2006/main" id="20" name="Table4128141621" displayName="Table4128141621" ref="B4:R20" totalsRowShown="0" headerRowDxfId="2581" dataDxfId="2579" headerRowBorderDxfId="2580" tableBorderDxfId="2578">
  <tableColumns count="17">
    <tableColumn id="1" name="Matchup" dataDxfId="2577"/>
    <tableColumn id="2" name="NO@CAR"/>
    <tableColumn id="3" name="ARI@MIN"/>
    <tableColumn id="4" name="BAL@DAL"/>
    <tableColumn id="5" name="BUF@CIN"/>
    <tableColumn id="6" name="CHI@NYG"/>
    <tableColumn id="7" name="JAX@DET"/>
    <tableColumn id="8" name="PIT@CLE"/>
    <tableColumn id="9" name="TB@KC"/>
    <tableColumn id="10" name="TEN@IND" dataDxfId="2576"/>
    <tableColumn id="11" name="MIA@LA" dataDxfId="2575"/>
    <tableColumn id="12" name="NE@SF" dataDxfId="2574"/>
    <tableColumn id="13" name="PHI@SEA" dataDxfId="2573"/>
    <tableColumn id="14" name="GB@WAS" dataDxfId="2572"/>
    <tableColumn id="15" name="HOU@OAK" dataDxfId="2571"/>
    <tableColumn id="16" name="NYG@MIN" dataDxfId="2570"/>
    <tableColumn id="17" name="Bye Week" dataDxfId="2569"/>
  </tableColumns>
  <tableStyleInfo name="TableStyleMedium21" showFirstColumn="0" showLastColumn="0" showRowStripes="1" showColumnStripes="0"/>
</table>
</file>

<file path=xl/tables/table17.xml><?xml version="1.0" encoding="utf-8"?>
<table xmlns="http://schemas.openxmlformats.org/spreadsheetml/2006/main" id="21" name="Table4622" displayName="Table4622" ref="B4:R20" totalsRowShown="0" headerRowDxfId="2280" dataDxfId="2278" headerRowBorderDxfId="2279" tableBorderDxfId="2277">
  <tableColumns count="17">
    <tableColumn id="1" name="Matchup" dataDxfId="2276"/>
    <tableColumn id="2" name="MIN@DET"/>
    <tableColumn id="3" name="WAS@DAL"/>
    <tableColumn id="4" name="PIT@IND"/>
    <tableColumn id="5" name="ARI@ATL"/>
    <tableColumn id="6" name="CIN@BAL"/>
    <tableColumn id="7" name="JAX@BUF"/>
    <tableColumn id="8" name="LA@NO"/>
    <tableColumn id="9" name="NYG@CLE"/>
    <tableColumn id="10" name="SD@HOU" dataDxfId="2275"/>
    <tableColumn id="11" name="SF@MIA" dataDxfId="2274"/>
    <tableColumn id="12" name="TEN@CHI" dataDxfId="2273"/>
    <tableColumn id="13" name="SEA@TB" dataDxfId="2272"/>
    <tableColumn id="14" name="CAR@OAK" dataDxfId="2271"/>
    <tableColumn id="15" name="NE@NYJ" dataDxfId="2270"/>
    <tableColumn id="16" name="KC@DEN" dataDxfId="2269"/>
    <tableColumn id="17" name="GB@PHI" dataDxfId="2268"/>
  </tableColumns>
  <tableStyleInfo name="TableStyleMedium21" showFirstColumn="0" showLastColumn="0" showRowStripes="1" showColumnStripes="0"/>
</table>
</file>

<file path=xl/tables/table18.xml><?xml version="1.0" encoding="utf-8"?>
<table xmlns="http://schemas.openxmlformats.org/spreadsheetml/2006/main" id="28" name="Table462229" displayName="Table462229" ref="B4:Q20" totalsRowShown="0" headerRowDxfId="1883" dataDxfId="1881" headerRowBorderDxfId="1882" tableBorderDxfId="1880">
  <tableColumns count="16">
    <tableColumn id="1" name="Matchup" dataDxfId="1879"/>
    <tableColumn id="2" name="DAL@MIN"/>
    <tableColumn id="3" name="DEN@JAX"/>
    <tableColumn id="4" name="DET@NO"/>
    <tableColumn id="5" name="HOU@GB"/>
    <tableColumn id="6" name="KC@ATL"/>
    <tableColumn id="7" name="LA@NE"/>
    <tableColumn id="8" name="MIA@BAL"/>
    <tableColumn id="9" name="PHI@CIN"/>
    <tableColumn id="10" name="SF@CHI" dataDxfId="1878"/>
    <tableColumn id="11" name="BUF@OAK" dataDxfId="1877"/>
    <tableColumn id="12" name="NYG@PIT" dataDxfId="1876"/>
    <tableColumn id="13" name="TB@SD" dataDxfId="1875"/>
    <tableColumn id="14" name="WAS@ARI" dataDxfId="1874"/>
    <tableColumn id="15" name="CAR@SEA" dataDxfId="1873"/>
    <tableColumn id="16" name="IND@NYJ" dataDxfId="1872"/>
  </tableColumns>
  <tableStyleInfo name="TableStyleMedium21" showFirstColumn="0" showLastColumn="0" showRowStripes="1" showColumnStripes="0"/>
</table>
</file>

<file path=xl/tables/table19.xml><?xml version="1.0" encoding="utf-8"?>
<table xmlns="http://schemas.openxmlformats.org/spreadsheetml/2006/main" id="30" name="Week14Picks" displayName="Week14Picks" ref="B4:R20" totalsRowShown="0" headerRowDxfId="1487" dataDxfId="1485" headerRowBorderDxfId="1486" tableBorderDxfId="1484">
  <tableColumns count="17">
    <tableColumn id="1" name="Matchup" dataDxfId="1483"/>
    <tableColumn id="2" name="OAK@KC"/>
    <tableColumn id="3" name="ARI@MIA"/>
    <tableColumn id="4" name="CHI@DET"/>
    <tableColumn id="5" name="CIN@CLE"/>
    <tableColumn id="6" name="DEN@TEN"/>
    <tableColumn id="7" name="HOU@IND"/>
    <tableColumn id="8" name="MIN@JAX"/>
    <tableColumn id="9" name="NO@TB"/>
    <tableColumn id="10" name="PIT@BUF" dataDxfId="1482"/>
    <tableColumn id="11" name="SD@CAR" dataDxfId="1481"/>
    <tableColumn id="12" name="WAS@PHI" dataDxfId="1480"/>
    <tableColumn id="13" name="NYJ@SF" dataDxfId="1479"/>
    <tableColumn id="14" name="ATL@LA" dataDxfId="1478"/>
    <tableColumn id="15" name="SEA@GB" dataDxfId="1477"/>
    <tableColumn id="16" name="DAL@NYG" dataDxfId="1476"/>
    <tableColumn id="17" name="BAL@NE" dataDxfId="1475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19:R29" totalsRowShown="0" headerRowDxfId="4080" dataDxfId="4079" tableBorderDxfId="4078">
  <tableColumns count="17">
    <tableColumn id="1" name="Matchup" dataDxfId="4077"/>
    <tableColumn id="2" name="CAR@DEN">
      <calculatedColumnFormula>IF(C5="CAR",1,0)</calculatedColumnFormula>
    </tableColumn>
    <tableColumn id="3" name="TB@ATL"/>
    <tableColumn id="4" name="MIN@TN"/>
    <tableColumn id="5" name="SD@KC"/>
    <tableColumn id="6" name="OAK@NO"/>
    <tableColumn id="7" name="CIN@NYJ"/>
    <tableColumn id="8" name="CLE@PHI"/>
    <tableColumn id="9" name="GB@JAX"/>
    <tableColumn id="10" name="BUF@BAL" dataDxfId="4076"/>
    <tableColumn id="11" name="CHI@HOU" dataDxfId="4075"/>
    <tableColumn id="12" name="MIA@SEA" dataDxfId="4074"/>
    <tableColumn id="13" name="NYG@DAL" dataDxfId="4073"/>
    <tableColumn id="14" name="DET@IND" dataDxfId="4072"/>
    <tableColumn id="15" name="NE@AZ" dataDxfId="4071"/>
    <tableColumn id="16" name="PIT@WAS" dataDxfId="4070"/>
    <tableColumn id="17" name="LA@SF" dataDxfId="4069"/>
  </tableColumns>
  <tableStyleInfo name="TableStyleMedium21" showFirstColumn="0" showLastColumn="0" showRowStripes="1" showColumnStripes="0"/>
</table>
</file>

<file path=xl/tables/table20.xml><?xml version="1.0" encoding="utf-8"?>
<table xmlns="http://schemas.openxmlformats.org/spreadsheetml/2006/main" id="22" name="Week14Results" displayName="Week14Results" ref="B23:R38" totalsRowShown="0" headerRowDxfId="1474" dataDxfId="1473" tableBorderDxfId="1472">
  <tableColumns count="17">
    <tableColumn id="1" name="Matchup" dataDxfId="1471"/>
    <tableColumn id="2" name="OAK@KC" dataDxfId="1470">
      <calculatedColumnFormula>IF(C5="",1,"-")</calculatedColumnFormula>
    </tableColumn>
    <tableColumn id="3" name="ARI@MIA" dataDxfId="1469">
      <calculatedColumnFormula>IF(D5="",1,"-")</calculatedColumnFormula>
    </tableColumn>
    <tableColumn id="4" name="CHI@DET" dataDxfId="1468">
      <calculatedColumnFormula>IF(E5="",1,"-")</calculatedColumnFormula>
    </tableColumn>
    <tableColumn id="5" name="CIN@CLE" dataDxfId="1467">
      <calculatedColumnFormula>IF(F5="",1,"-")</calculatedColumnFormula>
    </tableColumn>
    <tableColumn id="6" name="DEN@TEN" dataDxfId="1466">
      <calculatedColumnFormula>IF(G5="",1,"-")</calculatedColumnFormula>
    </tableColumn>
    <tableColumn id="7" name="HOU@IND" dataDxfId="1465">
      <calculatedColumnFormula>IF(H5="",1,"-")</calculatedColumnFormula>
    </tableColumn>
    <tableColumn id="8" name="MIN@JAX" dataDxfId="1464">
      <calculatedColumnFormula>IF(I5="",1,"-")</calculatedColumnFormula>
    </tableColumn>
    <tableColumn id="9" name="NO@TB" dataDxfId="1463">
      <calculatedColumnFormula>IF(J5="",1,"-")</calculatedColumnFormula>
    </tableColumn>
    <tableColumn id="10" name="PIT@BUF" dataDxfId="1462">
      <calculatedColumnFormula>IF(K5="",1,"-")</calculatedColumnFormula>
    </tableColumn>
    <tableColumn id="11" name="SD@CAR" dataDxfId="1461">
      <calculatedColumnFormula>IF(L5="",1,"-")</calculatedColumnFormula>
    </tableColumn>
    <tableColumn id="12" name="WAS@PHI" dataDxfId="1460">
      <calculatedColumnFormula>IF(M5="",1,"-")</calculatedColumnFormula>
    </tableColumn>
    <tableColumn id="13" name="NYJ@SF" dataDxfId="1459">
      <calculatedColumnFormula>IF(N5="",1,"-")</calculatedColumnFormula>
    </tableColumn>
    <tableColumn id="14" name="ATL@LA" dataDxfId="1458">
      <calculatedColumnFormula>IF(O5="",1,"-")</calculatedColumnFormula>
    </tableColumn>
    <tableColumn id="15" name="SEA@GB" dataDxfId="1457">
      <calculatedColumnFormula>IF(P5="",1,"-")</calculatedColumnFormula>
    </tableColumn>
    <tableColumn id="16" name="DAL@NYG" dataDxfId="1456">
      <calculatedColumnFormula>IF(Q5="",1,"-")</calculatedColumnFormula>
    </tableColumn>
    <tableColumn id="17" name="BAL@NE" dataDxfId="1455">
      <calculatedColumnFormula>IF(R5="",1,"-")</calculatedColumnFormula>
    </tableColumn>
  </tableColumns>
  <tableStyleInfo name="TableStyleMedium21" showFirstColumn="0" showLastColumn="0" showRowStripes="1" showColumnStripes="0"/>
</table>
</file>

<file path=xl/tables/table21.xml><?xml version="1.0" encoding="utf-8"?>
<table xmlns="http://schemas.openxmlformats.org/spreadsheetml/2006/main" id="31" name="Table462232" displayName="Table462232" ref="B4:R20" totalsRowShown="0" headerRowDxfId="942" dataDxfId="940" headerRowBorderDxfId="941" tableBorderDxfId="939">
  <tableColumns count="17">
    <tableColumn id="1" name="Matchup" dataDxfId="938"/>
    <tableColumn id="2" name="LA@SEA"/>
    <tableColumn id="3" name="MIA@NYJ"/>
    <tableColumn id="4" name="CLE@BUF"/>
    <tableColumn id="5" name="DET@NYG"/>
    <tableColumn id="6" name="GB@CHI"/>
    <tableColumn id="7" name="IND@MIN"/>
    <tableColumn id="8" name="JAX@HOU"/>
    <tableColumn id="9" name="PHI@BAL"/>
    <tableColumn id="10" name="PIT@CIN" dataDxfId="937"/>
    <tableColumn id="11" name="TEN@KC" dataDxfId="936"/>
    <tableColumn id="12" name="NO@ARI" dataDxfId="935"/>
    <tableColumn id="13" name="SF@ATL" dataDxfId="934"/>
    <tableColumn id="14" name="NE@DEN" dataDxfId="933"/>
    <tableColumn id="15" name="OAK@SD" dataDxfId="932"/>
    <tableColumn id="16" name="TB@DAL" dataDxfId="931"/>
    <tableColumn id="17" name="CAR@WAS" dataDxfId="930"/>
  </tableColumns>
  <tableStyleInfo name="TableStyleMedium21" showFirstColumn="0" showLastColumn="0" showRowStripes="1" showColumnStripes="0"/>
</table>
</file>

<file path=xl/tables/table22.xml><?xml version="1.0" encoding="utf-8"?>
<table xmlns="http://schemas.openxmlformats.org/spreadsheetml/2006/main" id="33" name="Table462234" displayName="Table462234" ref="B4:R20" totalsRowShown="0" headerRowDxfId="513" dataDxfId="511" headerRowBorderDxfId="512" tableBorderDxfId="510">
  <tableColumns count="17">
    <tableColumn id="1" name="Matchup" dataDxfId="509"/>
    <tableColumn id="2" name="NYG@PHI"/>
    <tableColumn id="3" name="ATL@CAR"/>
    <tableColumn id="4" name="MIA@BUF"/>
    <tableColumn id="5" name="MIN@GB"/>
    <tableColumn id="6" name="NYJ@NE"/>
    <tableColumn id="7" name="SD@CLE"/>
    <tableColumn id="8" name="TB@NO"/>
    <tableColumn id="9" name="TEN@JAX"/>
    <tableColumn id="10" name="WAS@CHI" dataDxfId="508"/>
    <tableColumn id="11" name="IND@OAK" dataDxfId="507"/>
    <tableColumn id="12" name="ARI@SEA" dataDxfId="506"/>
    <tableColumn id="13" name="SF@LA" dataDxfId="505"/>
    <tableColumn id="14" name="CIN@HOU" dataDxfId="504"/>
    <tableColumn id="15" name="BAL@PIT" dataDxfId="503"/>
    <tableColumn id="16" name="DEN@KC" dataDxfId="502"/>
    <tableColumn id="17" name="DET@DAL" dataDxfId="501"/>
  </tableColumns>
  <tableStyleInfo name="TableStyleMedium21" showFirstColumn="0" showLastColumn="0" showRowStripes="1" showColumnStripes="0"/>
</table>
</file>

<file path=xl/tables/table23.xml><?xml version="1.0" encoding="utf-8"?>
<table xmlns="http://schemas.openxmlformats.org/spreadsheetml/2006/main" id="35" name="Table462236" displayName="Table462236" ref="B4:R20" totalsRowShown="0" headerRowDxfId="212" dataDxfId="210" headerRowBorderDxfId="211" tableBorderDxfId="209">
  <tableColumns count="17">
    <tableColumn id="1" name="Matchup" dataDxfId="208"/>
    <tableColumn id="2" name="BAL@CIN"/>
    <tableColumn id="3" name="BUF@NYJ"/>
    <tableColumn id="4" name="CAR@TB"/>
    <tableColumn id="5" name="CHI@MIN"/>
    <tableColumn id="6" name="CLE@PIT"/>
    <tableColumn id="7" name="DAL@PHI"/>
    <tableColumn id="8" name="SEA@SF"/>
    <tableColumn id="9" name="HOU@TEN"/>
    <tableColumn id="10" name="JAX@IND" dataDxfId="207"/>
    <tableColumn id="11" name="NE@MIA" dataDxfId="206"/>
    <tableColumn id="12" name="NO@ATL" dataDxfId="205"/>
    <tableColumn id="13" name="NYG@WAS" dataDxfId="204"/>
    <tableColumn id="14" name="ARI@LA" dataDxfId="203"/>
    <tableColumn id="15" name="KC@SD" dataDxfId="202"/>
    <tableColumn id="16" name="OAK@DEN" dataDxfId="201"/>
    <tableColumn id="17" name="GB@DET" dataDxfId="200"/>
  </tableColumns>
  <tableStyleInfo name="TableStyleMedium21" showFirstColumn="0" showLastColumn="0" showRowStripes="1" showColumnStripes="0"/>
</table>
</file>

<file path=xl/tables/table24.xml><?xml version="1.0" encoding="utf-8"?>
<table xmlns="http://schemas.openxmlformats.org/spreadsheetml/2006/main" id="1" name="Table1" displayName="Table1" ref="C5:U19" totalsRowShown="0" headerRowDxfId="179" dataDxfId="177" headerRowBorderDxfId="178" tableBorderDxfId="176">
  <tableColumns count="19">
    <tableColumn id="1" name="Players" dataDxfId="175"/>
    <tableColumn id="2" name="Week 1" dataDxfId="174">
      <calculatedColumnFormula>'Week 1'!S6</calculatedColumnFormula>
    </tableColumn>
    <tableColumn id="3" name="Week 2" dataDxfId="173">
      <calculatedColumnFormula>'Week 2'!S6</calculatedColumnFormula>
    </tableColumn>
    <tableColumn id="4" name="Week 3" dataDxfId="172">
      <calculatedColumnFormula>'Week 3'!S6</calculatedColumnFormula>
    </tableColumn>
    <tableColumn id="5" name="Week 4" dataDxfId="171">
      <calculatedColumnFormula>'Week 4'!S6</calculatedColumnFormula>
    </tableColumn>
    <tableColumn id="6" name="Week 5" dataDxfId="170">
      <calculatedColumnFormula>'Week 5'!S6</calculatedColumnFormula>
    </tableColumn>
    <tableColumn id="7" name="Week 6" dataDxfId="169">
      <calculatedColumnFormula>'Week 6'!S6</calculatedColumnFormula>
    </tableColumn>
    <tableColumn id="8" name="Week 7" dataDxfId="168">
      <calculatedColumnFormula>'Week 7'!S6</calculatedColumnFormula>
    </tableColumn>
    <tableColumn id="9" name="Week 8" dataDxfId="167">
      <calculatedColumnFormula>'Week 8'!S6</calculatedColumnFormula>
    </tableColumn>
    <tableColumn id="10" name="Week 9" dataDxfId="166">
      <calculatedColumnFormula>'Week 9'!S6</calculatedColumnFormula>
    </tableColumn>
    <tableColumn id="11" name="Week 10" dataDxfId="165">
      <calculatedColumnFormula>'Week 10'!S6</calculatedColumnFormula>
    </tableColumn>
    <tableColumn id="12" name="Week 11" dataDxfId="164">
      <calculatedColumnFormula>'Week 11'!S6</calculatedColumnFormula>
    </tableColumn>
    <tableColumn id="13" name="Week 12" dataDxfId="163">
      <calculatedColumnFormula>'Week 12'!S6</calculatedColumnFormula>
    </tableColumn>
    <tableColumn id="14" name="Week 13" dataDxfId="162">
      <calculatedColumnFormula>'Week 13'!R6</calculatedColumnFormula>
    </tableColumn>
    <tableColumn id="15" name="Week 14" dataDxfId="161">
      <calculatedColumnFormula>'Week 14'!S6</calculatedColumnFormula>
    </tableColumn>
    <tableColumn id="16" name="Week 15" dataDxfId="160">
      <calculatedColumnFormula>'Week 15'!S6</calculatedColumnFormula>
    </tableColumn>
    <tableColumn id="17" name="Week 16" dataDxfId="159"/>
    <tableColumn id="18" name="Week 17" dataDxfId="158"/>
    <tableColumn id="19" name="TOTAL" dataDxfId="157">
      <calculatedColumnFormula>SUM(D6:T6)</calculatedColumnFormula>
    </tableColumn>
  </tableColumns>
  <tableStyleInfo name="TableStyleMedium21" showFirstColumn="0" showLastColumn="0" showRowStripes="1" showColumnStripes="0"/>
</table>
</file>

<file path=xl/tables/table25.xml><?xml version="1.0" encoding="utf-8"?>
<table xmlns="http://schemas.openxmlformats.org/spreadsheetml/2006/main" id="6" name="Table6" displayName="Table6" ref="C21:U22" headerRowCount="0" totalsRowShown="0" tableBorderDxfId="156">
  <tableColumns count="19">
    <tableColumn id="1" name="Total" headerRowDxfId="155" dataDxfId="154"/>
    <tableColumn id="2" name="92" headerRowDxfId="153">
      <calculatedColumnFormula>D14/D20</calculatedColumnFormula>
    </tableColumn>
    <tableColumn id="3" name="82" headerRowDxfId="152">
      <calculatedColumnFormula>E14/E20</calculatedColumnFormula>
    </tableColumn>
    <tableColumn id="4" name="81" headerRowDxfId="151">
      <calculatedColumnFormula>F14/F20</calculatedColumnFormula>
    </tableColumn>
    <tableColumn id="5" name="71" headerRowDxfId="150">
      <calculatedColumnFormula>G14/G20</calculatedColumnFormula>
    </tableColumn>
    <tableColumn id="6" name="812" headerRowDxfId="149">
      <calculatedColumnFormula>H14/H20</calculatedColumnFormula>
    </tableColumn>
    <tableColumn id="7" name="823" headerRowDxfId="148">
      <calculatedColumnFormula>I14/I20</calculatedColumnFormula>
    </tableColumn>
    <tableColumn id="8" name="0" headerRowDxfId="147"/>
    <tableColumn id="9" name="04" headerRowDxfId="146" dataDxfId="145">
      <calculatedColumnFormula>13*9</calculatedColumnFormula>
    </tableColumn>
    <tableColumn id="10" name="05" headerRowDxfId="144"/>
    <tableColumn id="11" name="06" headerRowDxfId="143"/>
    <tableColumn id="12" name="07" headerRowDxfId="142"/>
    <tableColumn id="13" name="08" headerRowDxfId="141"/>
    <tableColumn id="14" name="09" headerRowDxfId="140" dataDxfId="139">
      <calculatedColumnFormula>14*14</calculatedColumnFormula>
    </tableColumn>
    <tableColumn id="15" name="010" headerRowDxfId="138"/>
    <tableColumn id="16" name="011" headerRowDxfId="137"/>
    <tableColumn id="17" name="012" headerRowDxfId="136"/>
    <tableColumn id="18" name="013" headerRowDxfId="135"/>
    <tableColumn id="19" name="489" headerRowDxfId="134" dataDxfId="133">
      <calculatedColumnFormula>U14/U20</calculatedColumnFormula>
    </tableColumn>
  </tableColumns>
  <tableStyleInfo name="TableStyleDark7" showFirstColumn="0" showLastColumn="0" showRowStripes="1" showColumnStripes="0"/>
</table>
</file>

<file path=xl/tables/table26.xml><?xml version="1.0" encoding="utf-8"?>
<table xmlns="http://schemas.openxmlformats.org/spreadsheetml/2006/main" id="4" name="Table15" displayName="Table15" ref="C5:N19" totalsRowShown="0" headerRowDxfId="120" dataDxfId="118" headerRowBorderDxfId="119" tableBorderDxfId="117">
  <tableColumns count="12">
    <tableColumn id="1" name="Players" dataDxfId="116" totalsRowDxfId="115"/>
    <tableColumn id="10" name="Week 9" dataDxfId="114">
      <calculatedColumnFormula>'Week 9'!S6</calculatedColumnFormula>
    </tableColumn>
    <tableColumn id="11" name="Week 10" dataDxfId="113">
      <calculatedColumnFormula>'Week 10'!S6</calculatedColumnFormula>
    </tableColumn>
    <tableColumn id="12" name="Week 11" dataDxfId="112">
      <calculatedColumnFormula>'Week 11'!S6:S19</calculatedColumnFormula>
    </tableColumn>
    <tableColumn id="13" name="Week 12" dataDxfId="111">
      <calculatedColumnFormula>'Week 12'!S6</calculatedColumnFormula>
    </tableColumn>
    <tableColumn id="14" name="Week 13" dataDxfId="110">
      <calculatedColumnFormula>'Week 13'!R6</calculatedColumnFormula>
    </tableColumn>
    <tableColumn id="15" name="Week 14" dataDxfId="109">
      <calculatedColumnFormula>'Week 14'!S6</calculatedColumnFormula>
    </tableColumn>
    <tableColumn id="16" name="Week 15" dataDxfId="108">
      <calculatedColumnFormula>'Week 15'!S6</calculatedColumnFormula>
    </tableColumn>
    <tableColumn id="17" name="Week 16" dataDxfId="107">
      <calculatedColumnFormula>'Week 16'!S6</calculatedColumnFormula>
    </tableColumn>
    <tableColumn id="18" name="Week 17" dataDxfId="106">
      <calculatedColumnFormula>'Week 17'!S6</calculatedColumnFormula>
    </tableColumn>
    <tableColumn id="19" name="TOTAL" dataDxfId="105">
      <calculatedColumnFormula>SUM(D6:L6)</calculatedColumnFormula>
    </tableColumn>
    <tableColumn id="20" name="Running Total" dataDxfId="104" totalsRowDxfId="103" dataCellStyle="Currency"/>
  </tableColumns>
  <tableStyleInfo name="TableStyleMedium21" showFirstColumn="0" showLastColumn="0" showRowStripes="1" showColumnStripes="0"/>
</table>
</file>

<file path=xl/tables/table27.xml><?xml version="1.0" encoding="utf-8"?>
<table xmlns="http://schemas.openxmlformats.org/spreadsheetml/2006/main" id="14" name="Table14" displayName="Table14" ref="H21:I35" totalsRowShown="0" headerRowDxfId="102" dataDxfId="100" headerRowBorderDxfId="101" tableBorderDxfId="99">
  <sortState ref="H22:I35">
    <sortCondition descending="1" ref="I22:I35"/>
  </sortState>
  <tableColumns count="2">
    <tableColumn id="1" name="Standings" dataDxfId="98"/>
    <tableColumn id="2" name="Score" dataDxfId="97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id="5" name="Table46" displayName="Table46" ref="B4:R14" totalsRowShown="0" headerRowDxfId="4036" dataDxfId="4034" headerRowBorderDxfId="4035" tableBorderDxfId="4033">
  <tableColumns count="17">
    <tableColumn id="1" name="Matchup" dataDxfId="4032"/>
    <tableColumn id="2" name="NYJ@BUF"/>
    <tableColumn id="3" name="DAL@WAS"/>
    <tableColumn id="4" name="SF@CAR"/>
    <tableColumn id="5" name="TEN@DET"/>
    <tableColumn id="6" name="MIA@NE"/>
    <tableColumn id="7" name="NO@NYG"/>
    <tableColumn id="8" name="KC@HOU"/>
    <tableColumn id="9" name="BAL@CLE"/>
    <tableColumn id="10" name="CIN@PIT" dataDxfId="4031"/>
    <tableColumn id="11" name="TB@ARI" dataDxfId="4030"/>
    <tableColumn id="12" name="SEA@LA" dataDxfId="4029"/>
    <tableColumn id="13" name="JAX@SD" dataDxfId="4028"/>
    <tableColumn id="14" name="ATL@OAK" dataDxfId="4027"/>
    <tableColumn id="15" name="IND@DEN" dataDxfId="4026"/>
    <tableColumn id="16" name="GB@MIN" dataDxfId="4025"/>
    <tableColumn id="17" name="PHI@CHI" dataDxfId="4024"/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id="8" name="Table469" displayName="Table469" ref="B19:R29" totalsRowShown="0" headerRowDxfId="4023" dataDxfId="4021" headerRowBorderDxfId="4022" tableBorderDxfId="4020">
  <tableColumns count="17">
    <tableColumn id="1" name="Matchup" dataDxfId="4019"/>
    <tableColumn id="2" name="NYJ@BUF"/>
    <tableColumn id="3" name="DAL@WAS"/>
    <tableColumn id="4" name="SF@CAR"/>
    <tableColumn id="5" name="TEN@DET"/>
    <tableColumn id="6" name="MIA@NE"/>
    <tableColumn id="7" name="NO@NYG"/>
    <tableColumn id="8" name="KC@HOU"/>
    <tableColumn id="9" name="BAL@CLE"/>
    <tableColumn id="10" name="CIN@PIT" dataDxfId="4018"/>
    <tableColumn id="11" name="TB@ARI" dataDxfId="4017"/>
    <tableColumn id="12" name="SEA@LA" dataDxfId="4016"/>
    <tableColumn id="13" name="JAX@SD" dataDxfId="4015"/>
    <tableColumn id="14" name="ATL@OAK" dataDxfId="4014"/>
    <tableColumn id="15" name="IND@DEN" dataDxfId="4013"/>
    <tableColumn id="16" name="GB@MIN" dataDxfId="4012"/>
    <tableColumn id="17" name="PHI@CHI" dataDxfId="4011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id="11" name="Table412" displayName="Table412" ref="B4:R14" totalsRowShown="0" headerRowDxfId="3978" dataDxfId="3976" headerRowBorderDxfId="3977" tableBorderDxfId="3975">
  <tableColumns count="17">
    <tableColumn id="1" name="Matchup" dataDxfId="3974"/>
    <tableColumn id="2" name="HOU@NE"/>
    <tableColumn id="3" name="DEN@CIN"/>
    <tableColumn id="4" name="OAK@TEN"/>
    <tableColumn id="5" name="ARI@BUF"/>
    <tableColumn id="6" name="BAL@JAX"/>
    <tableColumn id="7" name="CLE@MIA"/>
    <tableColumn id="8" name="WAS@NYG"/>
    <tableColumn id="9" name="DET@GB"/>
    <tableColumn id="10" name="MIN@CAR" dataDxfId="3973"/>
    <tableColumn id="11" name="SF@SEA" dataDxfId="3972"/>
    <tableColumn id="12" name="LA@TB" dataDxfId="3971"/>
    <tableColumn id="13" name="PIT@PHI" dataDxfId="3970"/>
    <tableColumn id="14" name="NYJ@KC" dataDxfId="3969"/>
    <tableColumn id="15" name="SD@IND" dataDxfId="3968"/>
    <tableColumn id="16" name="CHI@DAL" dataDxfId="3967"/>
    <tableColumn id="17" name="ATL@NO" dataDxfId="3966"/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id="12" name="Table413" displayName="Table413" ref="B18:R28" totalsRowShown="0" dataDxfId="3964" headerRowBorderDxfId="3965" tableBorderDxfId="3963">
  <tableColumns count="17">
    <tableColumn id="1" name="Matchup" dataDxfId="3962"/>
    <tableColumn id="2" name="HOU@NE" dataDxfId="3961"/>
    <tableColumn id="3" name="DEN@CIN"/>
    <tableColumn id="4" name="OAK@TEN"/>
    <tableColumn id="5" name="ARI@BUF"/>
    <tableColumn id="6" name="BAL@JAX"/>
    <tableColumn id="7" name="CLE@MIA"/>
    <tableColumn id="8" name="WAS@NYG"/>
    <tableColumn id="9" name="DET@GB"/>
    <tableColumn id="10" name="MIN@CAR" dataDxfId="3960"/>
    <tableColumn id="11" name="SF@SEA" dataDxfId="3959"/>
    <tableColumn id="12" name="LA@TB" dataDxfId="3958"/>
    <tableColumn id="13" name="PIT@PHI" dataDxfId="3957"/>
    <tableColumn id="14" name="NYJ@KC" dataDxfId="3956"/>
    <tableColumn id="15" name="SD@IND" dataDxfId="3955"/>
    <tableColumn id="16" name="CHI@DAL" dataDxfId="3954"/>
    <tableColumn id="17" name="ATL@NO" dataDxfId="3953"/>
  </tableColumns>
  <tableStyleInfo name="TableStyleMedium21" showFirstColumn="0" showLastColumn="0" showRowStripes="1" showColumnStripes="0"/>
</table>
</file>

<file path=xl/tables/table7.xml><?xml version="1.0" encoding="utf-8"?>
<table xmlns="http://schemas.openxmlformats.org/spreadsheetml/2006/main" id="7" name="Table4128" displayName="Table4128" ref="B4:R14" totalsRowShown="0" headerRowDxfId="3920" dataDxfId="3918" headerRowBorderDxfId="3919" tableBorderDxfId="3917">
  <tableColumns count="17">
    <tableColumn id="1" name="Matchup" dataDxfId="3916"/>
    <tableColumn id="2" name="MIA@CIN"/>
    <tableColumn id="3" name="JAXv.IND"/>
    <tableColumn id="4" name="CLE@WAS"/>
    <tableColumn id="5" name="BUF@NE"/>
    <tableColumn id="6" name="SEA@NYJ"/>
    <tableColumn id="7" name="CAR@ATL"/>
    <tableColumn id="8" name="DET@CHI"/>
    <tableColumn id="9" name="TEN@HOU"/>
    <tableColumn id="10" name="OAK@BAL" dataDxfId="3915"/>
    <tableColumn id="11" name="DEN@TB" dataDxfId="3914"/>
    <tableColumn id="12" name="DAL@SF" dataDxfId="3913"/>
    <tableColumn id="13" name="NO@SD" dataDxfId="3912"/>
    <tableColumn id="14" name="LA@ARI" dataDxfId="3911"/>
    <tableColumn id="15" name="KC@PIT" dataDxfId="3910"/>
    <tableColumn id="16" name="NYG@MIN" dataDxfId="3909"/>
    <tableColumn id="17" name="Bye Week" dataDxfId="3908"/>
  </tableColumns>
  <tableStyleInfo name="TableStyleMedium21" showFirstColumn="0" showLastColumn="0" showRowStripes="1" showColumnStripes="0"/>
</table>
</file>

<file path=xl/tables/table8.xml><?xml version="1.0" encoding="utf-8"?>
<table xmlns="http://schemas.openxmlformats.org/spreadsheetml/2006/main" id="9" name="Table41310" displayName="Table41310" ref="B18:R28" totalsRowShown="0" dataDxfId="3906" headerRowBorderDxfId="3907" tableBorderDxfId="3905">
  <tableColumns count="17">
    <tableColumn id="1" name="Matchup" dataDxfId="3904"/>
    <tableColumn id="2" name="MIA@CIN" dataDxfId="3903"/>
    <tableColumn id="3" name="JAXv.IND"/>
    <tableColumn id="4" name="CLE@WAS"/>
    <tableColumn id="5" name="BUF@NE"/>
    <tableColumn id="6" name="SEA@NYJ"/>
    <tableColumn id="7" name="CAR@ATL"/>
    <tableColumn id="8" name="DET@CHI"/>
    <tableColumn id="9" name="TEN@HOU"/>
    <tableColumn id="10" name="OAK@BAL" dataDxfId="3902"/>
    <tableColumn id="11" name="DEN@TB" dataDxfId="3901"/>
    <tableColumn id="12" name="DAL@SF" dataDxfId="3900"/>
    <tableColumn id="13" name="NO@SD" dataDxfId="3899"/>
    <tableColumn id="14" name="LA@ARI" dataDxfId="3898"/>
    <tableColumn id="15" name="KC@PIT" dataDxfId="3897"/>
    <tableColumn id="16" name="NYG@MIN" dataDxfId="3896"/>
    <tableColumn id="17" name="Bye Week" dataDxfId="3895"/>
  </tableColumns>
  <tableStyleInfo name="TableStyleMedium21" showFirstColumn="0" showLastColumn="0" showRowStripes="1" showColumnStripes="0"/>
</table>
</file>

<file path=xl/tables/table9.xml><?xml version="1.0" encoding="utf-8"?>
<table xmlns="http://schemas.openxmlformats.org/spreadsheetml/2006/main" id="13" name="Table412814" displayName="Table412814" ref="B4:R15" totalsRowShown="0" headerRowDxfId="3862" dataDxfId="3860" headerRowBorderDxfId="3861" tableBorderDxfId="3859">
  <tableColumns count="17">
    <tableColumn id="1" name="Matchup" dataDxfId="3858"/>
    <tableColumn id="2" name="ARI@SF"/>
    <tableColumn id="3" name="HOU@MIN"/>
    <tableColumn id="4" name="TEN@MIA"/>
    <tableColumn id="5" name="NE@CLE"/>
    <tableColumn id="6" name="NYJ@PIT"/>
    <tableColumn id="7" name="WAS@BAL"/>
    <tableColumn id="8" name="PHI@DET"/>
    <tableColumn id="9" name="CHI@IND"/>
    <tableColumn id="10" name="ATL@DEN" dataDxfId="3857"/>
    <tableColumn id="11" name="BUF@LA" dataDxfId="3856"/>
    <tableColumn id="12" name="SD@OAK" dataDxfId="3855"/>
    <tableColumn id="13" name="CIN@DAL" dataDxfId="3854"/>
    <tableColumn id="14" name="NYG@GB" dataDxfId="3853"/>
    <tableColumn id="15" name="TB@CAR" dataDxfId="3852"/>
    <tableColumn id="16" name="NYG@MIN" dataDxfId="3851"/>
    <tableColumn id="17" name="Bye Week" dataDxfId="385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Relationship Id="rId4" Type="http://schemas.openxmlformats.org/officeDocument/2006/relationships/table" Target="../tables/table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S29"/>
  <sheetViews>
    <sheetView zoomScaleNormal="100" workbookViewId="0"/>
  </sheetViews>
  <sheetFormatPr defaultRowHeight="14.5" x14ac:dyDescent="0.35"/>
  <cols>
    <col min="2" max="2" width="10.90625" bestFit="1" customWidth="1"/>
    <col min="3" max="3" width="9.54296875" bestFit="1" customWidth="1"/>
    <col min="4" max="4" width="7.7265625" bestFit="1" customWidth="1"/>
    <col min="5" max="5" width="8.453125" bestFit="1" customWidth="1"/>
    <col min="6" max="6" width="7" bestFit="1" customWidth="1"/>
    <col min="7" max="7" width="8.90625" bestFit="1" customWidth="1"/>
    <col min="8" max="9" width="8.453125" bestFit="1" customWidth="1"/>
    <col min="10" max="10" width="7.90625" style="2" bestFit="1" customWidth="1"/>
    <col min="11" max="11" width="9" style="2" bestFit="1" customWidth="1"/>
    <col min="12" max="12" width="9.453125" bestFit="1" customWidth="1"/>
    <col min="13" max="13" width="9.1796875" bestFit="1" customWidth="1"/>
    <col min="14" max="14" width="9.453125" bestFit="1" customWidth="1"/>
    <col min="15" max="15" width="9" bestFit="1" customWidth="1"/>
    <col min="16" max="16" width="7.08984375" bestFit="1" customWidth="1"/>
    <col min="17" max="17" width="9.1796875" bestFit="1" customWidth="1"/>
    <col min="18" max="18" width="6.453125" bestFit="1" customWidth="1"/>
    <col min="19" max="19" width="10" customWidth="1"/>
  </cols>
  <sheetData>
    <row r="3" spans="1:19" ht="15" thickBot="1" x14ac:dyDescent="0.4">
      <c r="B3" s="2"/>
      <c r="C3" s="2"/>
      <c r="D3" s="2"/>
      <c r="E3" s="2"/>
      <c r="F3" s="2"/>
      <c r="G3" s="2"/>
      <c r="H3" s="2"/>
      <c r="I3" s="2"/>
      <c r="L3" s="2"/>
      <c r="M3" s="2"/>
      <c r="N3" s="2"/>
      <c r="O3" s="2"/>
      <c r="P3" s="2"/>
      <c r="Q3" s="2"/>
      <c r="R3" s="2"/>
    </row>
    <row r="4" spans="1:19" ht="15.5" customHeight="1" thickTop="1" thickBot="1" x14ac:dyDescent="0.4">
      <c r="A4" s="2"/>
      <c r="B4" s="15" t="s">
        <v>0</v>
      </c>
      <c r="C4" s="16" t="s">
        <v>4</v>
      </c>
      <c r="D4" s="16" t="s">
        <v>5</v>
      </c>
      <c r="E4" s="16" t="s">
        <v>6</v>
      </c>
      <c r="F4" s="16" t="s">
        <v>56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6" t="s">
        <v>12</v>
      </c>
      <c r="M4" s="16" t="s">
        <v>13</v>
      </c>
      <c r="N4" s="16" t="s">
        <v>14</v>
      </c>
      <c r="O4" s="16" t="s">
        <v>15</v>
      </c>
      <c r="P4" s="16" t="s">
        <v>16</v>
      </c>
      <c r="Q4" s="16" t="s">
        <v>17</v>
      </c>
      <c r="R4" s="16" t="s">
        <v>18</v>
      </c>
      <c r="S4" s="28" t="s">
        <v>93</v>
      </c>
    </row>
    <row r="5" spans="1:19" ht="15.5" thickTop="1" thickBot="1" x14ac:dyDescent="0.4">
      <c r="A5" s="2"/>
      <c r="B5" s="10" t="s">
        <v>1</v>
      </c>
      <c r="C5" s="8" t="s">
        <v>19</v>
      </c>
      <c r="D5" s="8" t="s">
        <v>20</v>
      </c>
      <c r="E5" s="8" t="s">
        <v>19</v>
      </c>
      <c r="F5" s="8" t="s">
        <v>21</v>
      </c>
      <c r="G5" s="8" t="s">
        <v>22</v>
      </c>
      <c r="H5" s="8" t="s">
        <v>19</v>
      </c>
      <c r="I5" s="8" t="s">
        <v>23</v>
      </c>
      <c r="J5" s="8" t="s">
        <v>24</v>
      </c>
      <c r="K5" s="9" t="s">
        <v>20</v>
      </c>
      <c r="L5" s="8" t="s">
        <v>25</v>
      </c>
      <c r="M5" s="8" t="s">
        <v>26</v>
      </c>
      <c r="N5" s="8" t="s">
        <v>27</v>
      </c>
      <c r="O5" s="8" t="s">
        <v>23</v>
      </c>
      <c r="P5" s="8" t="s">
        <v>21</v>
      </c>
      <c r="Q5" s="8" t="s">
        <v>28</v>
      </c>
      <c r="R5" s="8" t="s">
        <v>19</v>
      </c>
      <c r="S5" s="35" t="s">
        <v>94</v>
      </c>
    </row>
    <row r="6" spans="1:19" ht="15" thickTop="1" x14ac:dyDescent="0.35">
      <c r="A6" s="2"/>
      <c r="B6" s="3" t="s">
        <v>3</v>
      </c>
      <c r="C6" s="128" t="s">
        <v>33</v>
      </c>
      <c r="D6" s="128" t="s">
        <v>58</v>
      </c>
      <c r="E6" s="128" t="s">
        <v>59</v>
      </c>
      <c r="F6" s="128" t="s">
        <v>60</v>
      </c>
      <c r="G6" s="128" t="s">
        <v>61</v>
      </c>
      <c r="H6" s="128" t="s">
        <v>62</v>
      </c>
      <c r="I6" s="128" t="s">
        <v>63</v>
      </c>
      <c r="J6" s="128" t="s">
        <v>64</v>
      </c>
      <c r="K6" s="128" t="s">
        <v>65</v>
      </c>
      <c r="L6" s="128" t="s">
        <v>66</v>
      </c>
      <c r="M6" s="128" t="s">
        <v>67</v>
      </c>
      <c r="N6" s="128" t="s">
        <v>68</v>
      </c>
      <c r="O6" s="128" t="s">
        <v>69</v>
      </c>
      <c r="P6" s="128" t="s">
        <v>70</v>
      </c>
      <c r="Q6" s="128" t="s">
        <v>71</v>
      </c>
      <c r="R6" s="128" t="s">
        <v>72</v>
      </c>
      <c r="S6" s="196">
        <f>SUM(C21:R21)</f>
        <v>8</v>
      </c>
    </row>
    <row r="7" spans="1:19" x14ac:dyDescent="0.35">
      <c r="A7" s="2"/>
      <c r="B7" s="3" t="s">
        <v>29</v>
      </c>
      <c r="C7" s="128" t="s">
        <v>34</v>
      </c>
      <c r="D7" s="128" t="s">
        <v>73</v>
      </c>
      <c r="E7" s="128" t="s">
        <v>59</v>
      </c>
      <c r="F7" s="128" t="s">
        <v>60</v>
      </c>
      <c r="G7" s="128" t="s">
        <v>74</v>
      </c>
      <c r="H7" s="128" t="s">
        <v>62</v>
      </c>
      <c r="I7" s="128" t="s">
        <v>75</v>
      </c>
      <c r="J7" s="128" t="s">
        <v>64</v>
      </c>
      <c r="K7" s="128" t="s">
        <v>65</v>
      </c>
      <c r="L7" s="128" t="s">
        <v>66</v>
      </c>
      <c r="M7" s="128" t="s">
        <v>67</v>
      </c>
      <c r="N7" s="128" t="s">
        <v>68</v>
      </c>
      <c r="O7" s="128" t="s">
        <v>69</v>
      </c>
      <c r="P7" s="128" t="s">
        <v>70</v>
      </c>
      <c r="Q7" s="128" t="s">
        <v>76</v>
      </c>
      <c r="R7" s="128" t="s">
        <v>77</v>
      </c>
      <c r="S7" s="197">
        <f t="shared" ref="S7:S14" si="0">SUM(C22:R22)</f>
        <v>12</v>
      </c>
    </row>
    <row r="8" spans="1:19" x14ac:dyDescent="0.35">
      <c r="A8" s="2"/>
      <c r="B8" s="3" t="s">
        <v>30</v>
      </c>
      <c r="C8" s="128" t="s">
        <v>33</v>
      </c>
      <c r="D8" s="128" t="s">
        <v>73</v>
      </c>
      <c r="E8" s="128" t="s">
        <v>59</v>
      </c>
      <c r="F8" s="128" t="s">
        <v>60</v>
      </c>
      <c r="G8" s="128" t="s">
        <v>78</v>
      </c>
      <c r="H8" s="128" t="s">
        <v>79</v>
      </c>
      <c r="I8" s="128" t="s">
        <v>80</v>
      </c>
      <c r="J8" s="128" t="s">
        <v>64</v>
      </c>
      <c r="K8" s="128" t="s">
        <v>81</v>
      </c>
      <c r="L8" s="128" t="s">
        <v>82</v>
      </c>
      <c r="M8" s="128" t="s">
        <v>83</v>
      </c>
      <c r="N8" s="128" t="s">
        <v>84</v>
      </c>
      <c r="O8" s="128" t="s">
        <v>85</v>
      </c>
      <c r="P8" s="128" t="s">
        <v>70</v>
      </c>
      <c r="Q8" s="128" t="s">
        <v>86</v>
      </c>
      <c r="R8" s="128" t="s">
        <v>77</v>
      </c>
      <c r="S8" s="196">
        <f t="shared" si="0"/>
        <v>9</v>
      </c>
    </row>
    <row r="9" spans="1:19" x14ac:dyDescent="0.35">
      <c r="A9" s="2"/>
      <c r="B9" s="3" t="s">
        <v>31</v>
      </c>
      <c r="C9" s="116" t="s">
        <v>33</v>
      </c>
      <c r="D9" s="116" t="s">
        <v>73</v>
      </c>
      <c r="E9" s="116" t="s">
        <v>87</v>
      </c>
      <c r="F9" s="116" t="s">
        <v>60</v>
      </c>
      <c r="G9" s="116" t="s">
        <v>74</v>
      </c>
      <c r="H9" s="116" t="s">
        <v>62</v>
      </c>
      <c r="I9" s="116" t="s">
        <v>75</v>
      </c>
      <c r="J9" s="116" t="s">
        <v>64</v>
      </c>
      <c r="K9" s="116" t="s">
        <v>65</v>
      </c>
      <c r="L9" s="116" t="s">
        <v>88</v>
      </c>
      <c r="M9" s="116" t="s">
        <v>67</v>
      </c>
      <c r="N9" s="116" t="s">
        <v>68</v>
      </c>
      <c r="O9" s="116" t="s">
        <v>69</v>
      </c>
      <c r="P9" s="116" t="s">
        <v>89</v>
      </c>
      <c r="Q9" s="116" t="s">
        <v>76</v>
      </c>
      <c r="R9" s="116" t="s">
        <v>77</v>
      </c>
      <c r="S9" s="197">
        <f t="shared" si="0"/>
        <v>12</v>
      </c>
    </row>
    <row r="10" spans="1:19" x14ac:dyDescent="0.35">
      <c r="A10" s="2"/>
      <c r="B10" s="3" t="s">
        <v>32</v>
      </c>
      <c r="C10" s="128" t="s">
        <v>33</v>
      </c>
      <c r="D10" s="128" t="s">
        <v>58</v>
      </c>
      <c r="E10" s="128" t="s">
        <v>59</v>
      </c>
      <c r="F10" s="128" t="s">
        <v>60</v>
      </c>
      <c r="G10" s="128" t="s">
        <v>74</v>
      </c>
      <c r="H10" s="128" t="s">
        <v>62</v>
      </c>
      <c r="I10" s="128" t="s">
        <v>75</v>
      </c>
      <c r="J10" s="128" t="s">
        <v>64</v>
      </c>
      <c r="K10" s="128" t="s">
        <v>65</v>
      </c>
      <c r="L10" s="128" t="s">
        <v>66</v>
      </c>
      <c r="M10" s="128" t="s">
        <v>67</v>
      </c>
      <c r="N10" s="128" t="s">
        <v>90</v>
      </c>
      <c r="O10" s="128" t="s">
        <v>69</v>
      </c>
      <c r="P10" s="128" t="s">
        <v>70</v>
      </c>
      <c r="Q10" s="128" t="s">
        <v>76</v>
      </c>
      <c r="R10" s="128" t="s">
        <v>77</v>
      </c>
      <c r="S10" s="196">
        <f t="shared" si="0"/>
        <v>9</v>
      </c>
    </row>
    <row r="11" spans="1:19" x14ac:dyDescent="0.35">
      <c r="A11" s="2"/>
      <c r="B11" s="3" t="s">
        <v>35</v>
      </c>
      <c r="C11" s="128" t="s">
        <v>33</v>
      </c>
      <c r="D11" s="128" t="s">
        <v>58</v>
      </c>
      <c r="E11" s="128" t="s">
        <v>87</v>
      </c>
      <c r="F11" s="128" t="s">
        <v>60</v>
      </c>
      <c r="G11" s="128" t="s">
        <v>74</v>
      </c>
      <c r="H11" s="128" t="s">
        <v>62</v>
      </c>
      <c r="I11" s="128" t="s">
        <v>75</v>
      </c>
      <c r="J11" s="128" t="s">
        <v>64</v>
      </c>
      <c r="K11" s="128" t="s">
        <v>65</v>
      </c>
      <c r="L11" s="128" t="s">
        <v>66</v>
      </c>
      <c r="M11" s="128" t="s">
        <v>67</v>
      </c>
      <c r="N11" s="128" t="s">
        <v>68</v>
      </c>
      <c r="O11" s="128" t="s">
        <v>69</v>
      </c>
      <c r="P11" s="128" t="s">
        <v>70</v>
      </c>
      <c r="Q11" s="128" t="s">
        <v>76</v>
      </c>
      <c r="R11" s="128" t="s">
        <v>77</v>
      </c>
      <c r="S11" s="197">
        <f t="shared" si="0"/>
        <v>11</v>
      </c>
    </row>
    <row r="12" spans="1:19" x14ac:dyDescent="0.35">
      <c r="A12" s="2"/>
      <c r="B12" s="6" t="s">
        <v>36</v>
      </c>
      <c r="C12" s="128" t="s">
        <v>33</v>
      </c>
      <c r="D12" s="128" t="s">
        <v>58</v>
      </c>
      <c r="E12" s="128" t="s">
        <v>87</v>
      </c>
      <c r="F12" s="128" t="s">
        <v>60</v>
      </c>
      <c r="G12" s="128" t="s">
        <v>61</v>
      </c>
      <c r="H12" s="128" t="s">
        <v>62</v>
      </c>
      <c r="I12" s="128" t="s">
        <v>63</v>
      </c>
      <c r="J12" s="128" t="s">
        <v>64</v>
      </c>
      <c r="K12" s="128" t="s">
        <v>91</v>
      </c>
      <c r="L12" s="128" t="s">
        <v>66</v>
      </c>
      <c r="M12" s="128" t="s">
        <v>67</v>
      </c>
      <c r="N12" s="128" t="s">
        <v>68</v>
      </c>
      <c r="O12" s="128" t="s">
        <v>69</v>
      </c>
      <c r="P12" s="128" t="s">
        <v>70</v>
      </c>
      <c r="Q12" s="128" t="s">
        <v>76</v>
      </c>
      <c r="R12" s="128" t="s">
        <v>77</v>
      </c>
      <c r="S12" s="196">
        <f t="shared" si="0"/>
        <v>10</v>
      </c>
    </row>
    <row r="13" spans="1:19" x14ac:dyDescent="0.35">
      <c r="A13" s="2"/>
      <c r="B13" s="6" t="s">
        <v>37</v>
      </c>
      <c r="C13" s="128" t="s">
        <v>33</v>
      </c>
      <c r="D13" s="128" t="s">
        <v>58</v>
      </c>
      <c r="E13" s="128" t="s">
        <v>87</v>
      </c>
      <c r="F13" s="128" t="s">
        <v>60</v>
      </c>
      <c r="G13" s="128" t="s">
        <v>74</v>
      </c>
      <c r="H13" s="128" t="s">
        <v>62</v>
      </c>
      <c r="I13" s="128" t="s">
        <v>75</v>
      </c>
      <c r="J13" s="128" t="s">
        <v>64</v>
      </c>
      <c r="K13" s="128" t="s">
        <v>65</v>
      </c>
      <c r="L13" s="128" t="s">
        <v>66</v>
      </c>
      <c r="M13" s="128" t="s">
        <v>67</v>
      </c>
      <c r="N13" s="128" t="s">
        <v>90</v>
      </c>
      <c r="O13" s="128" t="s">
        <v>69</v>
      </c>
      <c r="P13" s="128" t="s">
        <v>70</v>
      </c>
      <c r="Q13" s="128" t="s">
        <v>76</v>
      </c>
      <c r="R13" s="128" t="s">
        <v>77</v>
      </c>
      <c r="S13" s="197">
        <f t="shared" si="0"/>
        <v>10</v>
      </c>
    </row>
    <row r="14" spans="1:19" ht="15" thickBot="1" x14ac:dyDescent="0.4">
      <c r="A14" s="2"/>
      <c r="B14" s="6" t="s">
        <v>57</v>
      </c>
      <c r="C14" s="128" t="s">
        <v>33</v>
      </c>
      <c r="D14" s="128" t="s">
        <v>58</v>
      </c>
      <c r="E14" s="128" t="s">
        <v>87</v>
      </c>
      <c r="F14" s="128" t="s">
        <v>60</v>
      </c>
      <c r="G14" s="128" t="s">
        <v>74</v>
      </c>
      <c r="H14" s="128" t="s">
        <v>62</v>
      </c>
      <c r="I14" s="128" t="s">
        <v>75</v>
      </c>
      <c r="J14" s="128" t="s">
        <v>64</v>
      </c>
      <c r="K14" s="128" t="s">
        <v>65</v>
      </c>
      <c r="L14" s="128" t="s">
        <v>66</v>
      </c>
      <c r="M14" s="128" t="s">
        <v>67</v>
      </c>
      <c r="N14" s="128" t="s">
        <v>68</v>
      </c>
      <c r="O14" s="128" t="s">
        <v>69</v>
      </c>
      <c r="P14" s="128" t="s">
        <v>70</v>
      </c>
      <c r="Q14" s="128" t="s">
        <v>76</v>
      </c>
      <c r="R14" s="128" t="s">
        <v>77</v>
      </c>
      <c r="S14" s="227">
        <f t="shared" si="0"/>
        <v>11</v>
      </c>
    </row>
    <row r="15" spans="1:19" ht="15" thickTop="1" x14ac:dyDescent="0.35"/>
    <row r="18" spans="1:18" ht="15" thickBot="1" x14ac:dyDescent="0.4">
      <c r="B18" s="2"/>
    </row>
    <row r="19" spans="1:18" ht="15.5" thickTop="1" thickBot="1" x14ac:dyDescent="0.4">
      <c r="A19" s="3"/>
      <c r="B19" s="17" t="s">
        <v>0</v>
      </c>
      <c r="C19" s="18" t="s">
        <v>4</v>
      </c>
      <c r="D19" s="18" t="s">
        <v>5</v>
      </c>
      <c r="E19" s="18" t="s">
        <v>6</v>
      </c>
      <c r="F19" s="18" t="s">
        <v>56</v>
      </c>
      <c r="G19" s="18" t="s">
        <v>7</v>
      </c>
      <c r="H19" s="18" t="s">
        <v>8</v>
      </c>
      <c r="I19" s="18" t="s">
        <v>9</v>
      </c>
      <c r="J19" s="18" t="s">
        <v>10</v>
      </c>
      <c r="K19" s="18" t="s">
        <v>11</v>
      </c>
      <c r="L19" s="18" t="s">
        <v>12</v>
      </c>
      <c r="M19" s="18" t="s">
        <v>13</v>
      </c>
      <c r="N19" s="18" t="s">
        <v>14</v>
      </c>
      <c r="O19" s="18" t="s">
        <v>15</v>
      </c>
      <c r="P19" s="18" t="s">
        <v>16</v>
      </c>
      <c r="Q19" s="18" t="s">
        <v>17</v>
      </c>
      <c r="R19" s="19" t="s">
        <v>18</v>
      </c>
    </row>
    <row r="20" spans="1:18" ht="15.5" thickTop="1" thickBot="1" x14ac:dyDescent="0.4">
      <c r="A20" s="3"/>
      <c r="B20" s="10" t="s">
        <v>1</v>
      </c>
      <c r="C20" s="8" t="s">
        <v>19</v>
      </c>
      <c r="D20" s="8" t="s">
        <v>20</v>
      </c>
      <c r="E20" s="8" t="s">
        <v>19</v>
      </c>
      <c r="F20" s="8" t="s">
        <v>21</v>
      </c>
      <c r="G20" s="8" t="s">
        <v>22</v>
      </c>
      <c r="H20" s="8" t="s">
        <v>19</v>
      </c>
      <c r="I20" s="8" t="s">
        <v>23</v>
      </c>
      <c r="J20" s="8" t="s">
        <v>24</v>
      </c>
      <c r="K20" s="9" t="s">
        <v>20</v>
      </c>
      <c r="L20" s="8" t="s">
        <v>25</v>
      </c>
      <c r="M20" s="8" t="s">
        <v>26</v>
      </c>
      <c r="N20" s="8" t="s">
        <v>27</v>
      </c>
      <c r="O20" s="8" t="s">
        <v>23</v>
      </c>
      <c r="P20" s="8" t="s">
        <v>21</v>
      </c>
      <c r="Q20" s="8" t="s">
        <v>28</v>
      </c>
      <c r="R20" s="27" t="s">
        <v>19</v>
      </c>
    </row>
    <row r="21" spans="1:18" ht="15" thickTop="1" x14ac:dyDescent="0.35">
      <c r="A21" s="3"/>
      <c r="B21" s="3" t="s">
        <v>3</v>
      </c>
      <c r="C21" s="24" t="str">
        <f t="shared" ref="C21:C26" si="1">IF(C6="CAR","-",1)</f>
        <v>-</v>
      </c>
      <c r="D21" s="24" t="str">
        <f t="shared" ref="D21:D26" si="2">IF(D6="ATL","-",1)</f>
        <v>-</v>
      </c>
      <c r="E21" s="24" t="str">
        <f t="shared" ref="E21:E26" si="3">IF(E6="TN","-",1)</f>
        <v>-</v>
      </c>
      <c r="F21" s="24">
        <f t="shared" ref="F21:F26" si="4">IF(F6="KC",1,"-")</f>
        <v>1</v>
      </c>
      <c r="G21" s="24" t="str">
        <f t="shared" ref="G21:G26" si="5">IF(G6="NO","-",1)</f>
        <v>-</v>
      </c>
      <c r="H21" s="24">
        <f t="shared" ref="H21:H26" si="6">IF(H6="CIN",1,"-")</f>
        <v>1</v>
      </c>
      <c r="I21" s="24" t="str">
        <f t="shared" ref="I21:I26" si="7">IF(I6="CLE","-",1)</f>
        <v>-</v>
      </c>
      <c r="J21" s="20">
        <f t="shared" ref="J21:J26" si="8">IF(J6="GB",1,"-")</f>
        <v>1</v>
      </c>
      <c r="K21" s="25" t="str">
        <f t="shared" ref="K21:K26" si="9">IF(K6="BUF","-",1)</f>
        <v>-</v>
      </c>
      <c r="L21" s="25">
        <f t="shared" ref="L21:L26" si="10">IF(L6="HOU",1,"-")</f>
        <v>1</v>
      </c>
      <c r="M21" s="25">
        <f t="shared" ref="M21:M26" si="11">IF(M6="SEA",1,"-")</f>
        <v>1</v>
      </c>
      <c r="N21" s="25">
        <f t="shared" ref="N21:N26" si="12">IF(N6="NYG",1,"-")</f>
        <v>1</v>
      </c>
      <c r="O21" s="25">
        <f t="shared" ref="O21:O26" si="13">IF(O6="ind",1,"-")</f>
        <v>1</v>
      </c>
      <c r="P21" s="25" t="str">
        <f t="shared" ref="P21:P26" si="14">IF(P6="NE",1,"-")</f>
        <v>-</v>
      </c>
      <c r="Q21" s="25" t="str">
        <f t="shared" ref="Q21:Q26" si="15">IF(Q6="WAS","-",1)</f>
        <v>-</v>
      </c>
      <c r="R21" s="36">
        <f t="shared" ref="R21:R26" si="16">IF(R6="SF",1,"-")</f>
        <v>1</v>
      </c>
    </row>
    <row r="22" spans="1:18" x14ac:dyDescent="0.35">
      <c r="A22" s="3"/>
      <c r="B22" s="3" t="s">
        <v>29</v>
      </c>
      <c r="C22" s="24">
        <f t="shared" si="1"/>
        <v>1</v>
      </c>
      <c r="D22" s="24">
        <f t="shared" si="2"/>
        <v>1</v>
      </c>
      <c r="E22" s="24" t="str">
        <f t="shared" si="3"/>
        <v>-</v>
      </c>
      <c r="F22" s="24">
        <f t="shared" si="4"/>
        <v>1</v>
      </c>
      <c r="G22" s="24">
        <f t="shared" si="5"/>
        <v>1</v>
      </c>
      <c r="H22" s="24">
        <f t="shared" si="6"/>
        <v>1</v>
      </c>
      <c r="I22" s="24">
        <f t="shared" si="7"/>
        <v>1</v>
      </c>
      <c r="J22" s="20">
        <f t="shared" si="8"/>
        <v>1</v>
      </c>
      <c r="K22" s="25" t="str">
        <f t="shared" si="9"/>
        <v>-</v>
      </c>
      <c r="L22" s="25">
        <f t="shared" si="10"/>
        <v>1</v>
      </c>
      <c r="M22" s="25">
        <f t="shared" si="11"/>
        <v>1</v>
      </c>
      <c r="N22" s="25">
        <f t="shared" si="12"/>
        <v>1</v>
      </c>
      <c r="O22" s="25">
        <f t="shared" si="13"/>
        <v>1</v>
      </c>
      <c r="P22" s="25" t="str">
        <f t="shared" si="14"/>
        <v>-</v>
      </c>
      <c r="Q22" s="25">
        <f t="shared" si="15"/>
        <v>1</v>
      </c>
      <c r="R22" s="36" t="str">
        <f t="shared" si="16"/>
        <v>-</v>
      </c>
    </row>
    <row r="23" spans="1:18" x14ac:dyDescent="0.35">
      <c r="A23" s="3"/>
      <c r="B23" s="3" t="s">
        <v>30</v>
      </c>
      <c r="C23" s="24" t="str">
        <f t="shared" si="1"/>
        <v>-</v>
      </c>
      <c r="D23" s="24">
        <f t="shared" si="2"/>
        <v>1</v>
      </c>
      <c r="E23" s="24" t="str">
        <f t="shared" si="3"/>
        <v>-</v>
      </c>
      <c r="F23" s="24">
        <f t="shared" si="4"/>
        <v>1</v>
      </c>
      <c r="G23" s="24">
        <f t="shared" si="5"/>
        <v>1</v>
      </c>
      <c r="H23" s="24" t="str">
        <f t="shared" si="6"/>
        <v>-</v>
      </c>
      <c r="I23" s="24">
        <f t="shared" si="7"/>
        <v>1</v>
      </c>
      <c r="J23" s="20">
        <f t="shared" si="8"/>
        <v>1</v>
      </c>
      <c r="K23" s="25" t="str">
        <f t="shared" si="9"/>
        <v>-</v>
      </c>
      <c r="L23" s="25">
        <f t="shared" si="10"/>
        <v>1</v>
      </c>
      <c r="M23" s="25">
        <f t="shared" si="11"/>
        <v>1</v>
      </c>
      <c r="N23" s="25" t="str">
        <f t="shared" si="12"/>
        <v>-</v>
      </c>
      <c r="O23" s="25">
        <f t="shared" si="13"/>
        <v>1</v>
      </c>
      <c r="P23" s="25" t="str">
        <f t="shared" si="14"/>
        <v>-</v>
      </c>
      <c r="Q23" s="25">
        <f t="shared" si="15"/>
        <v>1</v>
      </c>
      <c r="R23" s="36" t="str">
        <f t="shared" si="16"/>
        <v>-</v>
      </c>
    </row>
    <row r="24" spans="1:18" x14ac:dyDescent="0.35">
      <c r="A24" s="3"/>
      <c r="B24" s="3" t="s">
        <v>31</v>
      </c>
      <c r="C24" s="24" t="str">
        <f t="shared" si="1"/>
        <v>-</v>
      </c>
      <c r="D24" s="24">
        <f t="shared" si="2"/>
        <v>1</v>
      </c>
      <c r="E24" s="24">
        <f t="shared" si="3"/>
        <v>1</v>
      </c>
      <c r="F24" s="24">
        <f t="shared" si="4"/>
        <v>1</v>
      </c>
      <c r="G24" s="24">
        <f t="shared" si="5"/>
        <v>1</v>
      </c>
      <c r="H24" s="24">
        <f t="shared" si="6"/>
        <v>1</v>
      </c>
      <c r="I24" s="24">
        <f t="shared" si="7"/>
        <v>1</v>
      </c>
      <c r="J24" s="20">
        <f t="shared" si="8"/>
        <v>1</v>
      </c>
      <c r="K24" s="25" t="str">
        <f t="shared" si="9"/>
        <v>-</v>
      </c>
      <c r="L24" s="25" t="str">
        <f t="shared" si="10"/>
        <v>-</v>
      </c>
      <c r="M24" s="25">
        <f t="shared" si="11"/>
        <v>1</v>
      </c>
      <c r="N24" s="25">
        <f t="shared" si="12"/>
        <v>1</v>
      </c>
      <c r="O24" s="25">
        <f t="shared" si="13"/>
        <v>1</v>
      </c>
      <c r="P24" s="25">
        <f t="shared" si="14"/>
        <v>1</v>
      </c>
      <c r="Q24" s="25">
        <f t="shared" si="15"/>
        <v>1</v>
      </c>
      <c r="R24" s="36" t="str">
        <f t="shared" si="16"/>
        <v>-</v>
      </c>
    </row>
    <row r="25" spans="1:18" x14ac:dyDescent="0.35">
      <c r="A25" s="3"/>
      <c r="B25" s="3" t="s">
        <v>32</v>
      </c>
      <c r="C25" s="24" t="str">
        <f t="shared" si="1"/>
        <v>-</v>
      </c>
      <c r="D25" s="24" t="str">
        <f t="shared" si="2"/>
        <v>-</v>
      </c>
      <c r="E25" s="24" t="str">
        <f t="shared" si="3"/>
        <v>-</v>
      </c>
      <c r="F25" s="24">
        <f t="shared" si="4"/>
        <v>1</v>
      </c>
      <c r="G25" s="24">
        <f t="shared" si="5"/>
        <v>1</v>
      </c>
      <c r="H25" s="24">
        <f t="shared" si="6"/>
        <v>1</v>
      </c>
      <c r="I25" s="24">
        <f t="shared" si="7"/>
        <v>1</v>
      </c>
      <c r="J25" s="20">
        <f t="shared" si="8"/>
        <v>1</v>
      </c>
      <c r="K25" s="25" t="str">
        <f t="shared" si="9"/>
        <v>-</v>
      </c>
      <c r="L25" s="25">
        <f t="shared" si="10"/>
        <v>1</v>
      </c>
      <c r="M25" s="25">
        <f t="shared" si="11"/>
        <v>1</v>
      </c>
      <c r="N25" s="25" t="str">
        <f t="shared" si="12"/>
        <v>-</v>
      </c>
      <c r="O25" s="25">
        <f t="shared" si="13"/>
        <v>1</v>
      </c>
      <c r="P25" s="25" t="str">
        <f t="shared" si="14"/>
        <v>-</v>
      </c>
      <c r="Q25" s="25">
        <f t="shared" si="15"/>
        <v>1</v>
      </c>
      <c r="R25" s="36" t="str">
        <f t="shared" si="16"/>
        <v>-</v>
      </c>
    </row>
    <row r="26" spans="1:18" x14ac:dyDescent="0.35">
      <c r="A26" s="3"/>
      <c r="B26" s="3" t="s">
        <v>35</v>
      </c>
      <c r="C26" s="24" t="str">
        <f t="shared" si="1"/>
        <v>-</v>
      </c>
      <c r="D26" s="24" t="str">
        <f t="shared" si="2"/>
        <v>-</v>
      </c>
      <c r="E26" s="24">
        <f t="shared" si="3"/>
        <v>1</v>
      </c>
      <c r="F26" s="24">
        <f t="shared" si="4"/>
        <v>1</v>
      </c>
      <c r="G26" s="24">
        <f t="shared" si="5"/>
        <v>1</v>
      </c>
      <c r="H26" s="24">
        <f t="shared" si="6"/>
        <v>1</v>
      </c>
      <c r="I26" s="24">
        <f t="shared" si="7"/>
        <v>1</v>
      </c>
      <c r="J26" s="20">
        <f t="shared" si="8"/>
        <v>1</v>
      </c>
      <c r="K26" s="25" t="str">
        <f t="shared" si="9"/>
        <v>-</v>
      </c>
      <c r="L26" s="25">
        <f t="shared" si="10"/>
        <v>1</v>
      </c>
      <c r="M26" s="25">
        <f t="shared" si="11"/>
        <v>1</v>
      </c>
      <c r="N26" s="25">
        <f t="shared" si="12"/>
        <v>1</v>
      </c>
      <c r="O26" s="25">
        <f t="shared" si="13"/>
        <v>1</v>
      </c>
      <c r="P26" s="25" t="str">
        <f t="shared" si="14"/>
        <v>-</v>
      </c>
      <c r="Q26" s="25">
        <f t="shared" si="15"/>
        <v>1</v>
      </c>
      <c r="R26" s="36" t="str">
        <f t="shared" si="16"/>
        <v>-</v>
      </c>
    </row>
    <row r="27" spans="1:18" x14ac:dyDescent="0.35">
      <c r="A27" s="3"/>
      <c r="B27" s="6" t="s">
        <v>36</v>
      </c>
      <c r="C27" s="24" t="str">
        <f>IF(C12="CAR","-",1)</f>
        <v>-</v>
      </c>
      <c r="D27" s="24" t="str">
        <f>IF(D12="ATL","-",1)</f>
        <v>-</v>
      </c>
      <c r="E27" s="24">
        <f>IF(E12="TN","-",1)</f>
        <v>1</v>
      </c>
      <c r="F27" s="24">
        <f>IF(F12="KC",1,"-")</f>
        <v>1</v>
      </c>
      <c r="G27" s="24" t="str">
        <f>IF(G12="NO","-",1)</f>
        <v>-</v>
      </c>
      <c r="H27" s="24">
        <f>IF(H12="CIN",1,"-")</f>
        <v>1</v>
      </c>
      <c r="I27" s="24" t="str">
        <f>IF(I12="CLE","-",1)</f>
        <v>-</v>
      </c>
      <c r="J27" s="20">
        <f>IF(J12="GB",1,"-")</f>
        <v>1</v>
      </c>
      <c r="K27" s="25">
        <f>IF(K12="BUF","-",1)</f>
        <v>1</v>
      </c>
      <c r="L27" s="25">
        <f>IF(L12="HOU",1,"-")</f>
        <v>1</v>
      </c>
      <c r="M27" s="25">
        <f>IF(M12="SEA",1,"-")</f>
        <v>1</v>
      </c>
      <c r="N27" s="25">
        <f>IF(N12="NYG",1,"-")</f>
        <v>1</v>
      </c>
      <c r="O27" s="25">
        <f>IF(O12="ind",1,"-")</f>
        <v>1</v>
      </c>
      <c r="P27" s="25" t="str">
        <f>IF(P12="NE",1,"-")</f>
        <v>-</v>
      </c>
      <c r="Q27" s="25">
        <f>IF(Q12="WAS","-",1)</f>
        <v>1</v>
      </c>
      <c r="R27" s="36" t="str">
        <f>IF(R12="SF",1,"-")</f>
        <v>-</v>
      </c>
    </row>
    <row r="28" spans="1:18" x14ac:dyDescent="0.35">
      <c r="A28" s="3"/>
      <c r="B28" s="6" t="s">
        <v>37</v>
      </c>
      <c r="C28" s="24" t="str">
        <f>IF(C13="CAR","-",1)</f>
        <v>-</v>
      </c>
      <c r="D28" s="24" t="str">
        <f>IF(D13="ATL","-",1)</f>
        <v>-</v>
      </c>
      <c r="E28" s="24">
        <f>IF(E13="TN","-",1)</f>
        <v>1</v>
      </c>
      <c r="F28" s="24">
        <f>IF(F13="KC",1,"-")</f>
        <v>1</v>
      </c>
      <c r="G28" s="24">
        <f>IF(G13="NO","-",1)</f>
        <v>1</v>
      </c>
      <c r="H28" s="24">
        <f>IF(H13="CIN",1,"-")</f>
        <v>1</v>
      </c>
      <c r="I28" s="24">
        <f>IF(I13="CLE","-",1)</f>
        <v>1</v>
      </c>
      <c r="J28" s="20">
        <f>IF(J13="GB",1,"-")</f>
        <v>1</v>
      </c>
      <c r="K28" s="25" t="str">
        <f>IF(K13="BUF","-",1)</f>
        <v>-</v>
      </c>
      <c r="L28" s="25">
        <f>IF(L13="HOU",1,"-")</f>
        <v>1</v>
      </c>
      <c r="M28" s="25">
        <f>IF(M13="SEA",1,"-")</f>
        <v>1</v>
      </c>
      <c r="N28" s="25" t="str">
        <f>IF(N13="NYG",1,"-")</f>
        <v>-</v>
      </c>
      <c r="O28" s="25">
        <f>IF(O13="ind",1,"-")</f>
        <v>1</v>
      </c>
      <c r="P28" s="25" t="str">
        <f>IF(P13="NE",1,"-")</f>
        <v>-</v>
      </c>
      <c r="Q28" s="25">
        <f>IF(Q13="WAS","-",1)</f>
        <v>1</v>
      </c>
      <c r="R28" s="36" t="str">
        <f>IF(R13="SF",1,"-")</f>
        <v>-</v>
      </c>
    </row>
    <row r="29" spans="1:18" x14ac:dyDescent="0.35">
      <c r="A29" s="3"/>
      <c r="B29" s="6" t="s">
        <v>57</v>
      </c>
      <c r="C29" s="24" t="str">
        <f>IF(C14="CAR","-",1)</f>
        <v>-</v>
      </c>
      <c r="D29" s="24" t="str">
        <f>IF(D14="ATL","-",1)</f>
        <v>-</v>
      </c>
      <c r="E29" s="24">
        <f>IF(E14="TN","-",1)</f>
        <v>1</v>
      </c>
      <c r="F29" s="24">
        <f>IF(F14="KC",1,"-")</f>
        <v>1</v>
      </c>
      <c r="G29" s="24">
        <f>IF(G14="NO","-",1)</f>
        <v>1</v>
      </c>
      <c r="H29" s="24">
        <f>IF(H14="CIN",1,"-")</f>
        <v>1</v>
      </c>
      <c r="I29" s="24">
        <f>IF(I14="CLE","-",1)</f>
        <v>1</v>
      </c>
      <c r="J29" s="20">
        <f>IF(J14="GB",1,"-")</f>
        <v>1</v>
      </c>
      <c r="K29" s="25" t="str">
        <f>IF(K14="BUF","-",1)</f>
        <v>-</v>
      </c>
      <c r="L29" s="25">
        <f>IF(L14="HOU",1,"-")</f>
        <v>1</v>
      </c>
      <c r="M29" s="25">
        <f>IF(M14="SEA",1,"-")</f>
        <v>1</v>
      </c>
      <c r="N29" s="25">
        <f>IF(N14="NYG",1,"-")</f>
        <v>1</v>
      </c>
      <c r="O29" s="25">
        <f>IF(O14="ind",1,"-")</f>
        <v>1</v>
      </c>
      <c r="P29" s="25" t="str">
        <f>IF(P14="NE",1,"-")</f>
        <v>-</v>
      </c>
      <c r="Q29" s="25">
        <f>IF(Q14="WAS","-",1)</f>
        <v>1</v>
      </c>
      <c r="R29" s="36" t="str">
        <f>IF(R14="SF",1,"-")</f>
        <v>-</v>
      </c>
    </row>
  </sheetData>
  <conditionalFormatting sqref="C21:R29">
    <cfRule type="colorScale" priority="45">
      <colorScale>
        <cfvo type="min"/>
        <cfvo type="max"/>
        <color rgb="FFFCFCFF"/>
        <color rgb="FF63BE7B"/>
      </colorScale>
    </cfRule>
  </conditionalFormatting>
  <conditionalFormatting sqref="C6:R14">
    <cfRule type="cellIs" dxfId="4124" priority="1" operator="equal">
      <formula>"PHI"</formula>
    </cfRule>
    <cfRule type="cellIs" dxfId="4123" priority="2" operator="equal">
      <formula>"GB"</formula>
    </cfRule>
    <cfRule type="cellIs" dxfId="4122" priority="3" operator="equal">
      <formula>"MIN"</formula>
    </cfRule>
    <cfRule type="cellIs" dxfId="4121" priority="4" operator="equal">
      <formula>"NYG"</formula>
    </cfRule>
    <cfRule type="cellIs" dxfId="4120" priority="5" operator="equal">
      <formula>"PIT"</formula>
    </cfRule>
    <cfRule type="cellIs" dxfId="4119" priority="6" operator="equal">
      <formula>"KC"</formula>
    </cfRule>
    <cfRule type="cellIs" dxfId="4118" priority="7" operator="equal">
      <formula>"ARI"</formula>
    </cfRule>
    <cfRule type="cellIs" dxfId="4117" priority="8" operator="equal">
      <formula>"LA"</formula>
    </cfRule>
    <cfRule type="cellIs" dxfId="4116" priority="9" operator="equal">
      <formula>"SD"</formula>
    </cfRule>
    <cfRule type="cellIs" dxfId="4115" priority="10" operator="equal">
      <formula>"NO"</formula>
    </cfRule>
    <cfRule type="cellIs" dxfId="4114" priority="11" operator="equal">
      <formula>"SF"</formula>
    </cfRule>
    <cfRule type="cellIs" dxfId="4113" priority="12" operator="equal">
      <formula>"DAL"</formula>
    </cfRule>
    <cfRule type="cellIs" dxfId="4112" priority="13" operator="equal">
      <formula>"TB"</formula>
    </cfRule>
    <cfRule type="cellIs" dxfId="4111" priority="14" operator="equal">
      <formula>"DEN"</formula>
    </cfRule>
    <cfRule type="cellIs" dxfId="4110" priority="15" operator="equal">
      <formula>"BAL"</formula>
    </cfRule>
    <cfRule type="cellIs" dxfId="4109" priority="16" operator="equal">
      <formula>"OAK"</formula>
    </cfRule>
    <cfRule type="cellIs" dxfId="4108" priority="17" operator="equal">
      <formula>"HOU"</formula>
    </cfRule>
    <cfRule type="cellIs" dxfId="4107" priority="18" operator="equal">
      <formula>"TEN"</formula>
    </cfRule>
    <cfRule type="cellIs" dxfId="4106" priority="19" operator="equal">
      <formula>"CHI"</formula>
    </cfRule>
    <cfRule type="cellIs" dxfId="4105" priority="20" operator="equal">
      <formula>"DET"</formula>
    </cfRule>
    <cfRule type="cellIs" dxfId="4104" priority="21" operator="equal">
      <formula>"ATL"</formula>
    </cfRule>
    <cfRule type="cellIs" dxfId="4103" priority="22" operator="equal">
      <formula>"CAR"</formula>
    </cfRule>
    <cfRule type="cellIs" dxfId="4102" priority="23" operator="equal">
      <formula>"IND"</formula>
    </cfRule>
    <cfRule type="cellIs" dxfId="4101" priority="24" operator="equal">
      <formula>"JAX"</formula>
    </cfRule>
    <cfRule type="cellIs" dxfId="4100" priority="25" operator="equal">
      <formula>"NYJ"</formula>
    </cfRule>
    <cfRule type="cellIs" dxfId="4099" priority="26" operator="equal">
      <formula>"SEA"</formula>
    </cfRule>
    <cfRule type="cellIs" dxfId="4098" priority="27" operator="equal">
      <formula>"NE"</formula>
    </cfRule>
    <cfRule type="cellIs" dxfId="4097" priority="28" operator="equal">
      <formula>"BUF"</formula>
    </cfRule>
    <cfRule type="cellIs" dxfId="4096" priority="29" operator="equal">
      <formula>"WAS"</formula>
    </cfRule>
    <cfRule type="cellIs" dxfId="4095" priority="30" operator="equal">
      <formula>"CLE"</formula>
    </cfRule>
    <cfRule type="cellIs" dxfId="4094" priority="31" operator="equal">
      <formula>"CIN"</formula>
    </cfRule>
    <cfRule type="cellIs" dxfId="4093" priority="32" operator="equal">
      <formula>"MIA"</formula>
    </cfRule>
  </conditionalFormatting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39"/>
  <sheetViews>
    <sheetView zoomScaleNormal="100" workbookViewId="0"/>
  </sheetViews>
  <sheetFormatPr defaultRowHeight="14.5" x14ac:dyDescent="0.35"/>
  <cols>
    <col min="1" max="1" width="8.7265625" style="41"/>
    <col min="2" max="2" width="10.90625" style="41" bestFit="1" customWidth="1"/>
    <col min="3" max="3" width="8.6328125" style="41" bestFit="1" customWidth="1"/>
    <col min="4" max="4" width="8.54296875" style="41" bestFit="1" customWidth="1"/>
    <col min="5" max="5" width="7.6328125" style="41" customWidth="1"/>
    <col min="6" max="6" width="8.81640625" style="41" bestFit="1" customWidth="1"/>
    <col min="7" max="7" width="8.26953125" style="41" bestFit="1" customWidth="1"/>
    <col min="8" max="8" width="9.6328125" style="41" customWidth="1"/>
    <col min="9" max="9" width="8.1796875" style="41" customWidth="1"/>
    <col min="10" max="10" width="7.54296875" style="41" customWidth="1"/>
    <col min="11" max="11" width="10.08984375" style="41" customWidth="1"/>
    <col min="12" max="12" width="8.26953125" style="41" bestFit="1" customWidth="1"/>
    <col min="13" max="13" width="8.54296875" style="41" customWidth="1"/>
    <col min="14" max="14" width="8.7265625" style="41" customWidth="1"/>
    <col min="15" max="15" width="8" style="41" bestFit="1" customWidth="1"/>
    <col min="16" max="16" width="9.08984375" style="41" customWidth="1"/>
    <col min="17" max="17" width="9.7265625" style="41" hidden="1" customWidth="1"/>
    <col min="18" max="18" width="9.08984375" style="41" hidden="1" customWidth="1"/>
    <col min="19" max="16384" width="8.7265625" style="41"/>
  </cols>
  <sheetData>
    <row r="1" spans="1:20" x14ac:dyDescent="0.35">
      <c r="A1" s="41" t="s">
        <v>371</v>
      </c>
      <c r="B1" s="185"/>
      <c r="C1" s="185"/>
      <c r="D1" s="185"/>
    </row>
    <row r="3" spans="1:20" ht="15" thickBot="1" x14ac:dyDescent="0.4">
      <c r="D3" s="69"/>
    </row>
    <row r="4" spans="1:20" ht="15.5" customHeight="1" thickTop="1" thickBot="1" x14ac:dyDescent="0.4">
      <c r="B4" s="92" t="s">
        <v>0</v>
      </c>
      <c r="C4" s="82" t="s">
        <v>248</v>
      </c>
      <c r="D4" s="82" t="s">
        <v>249</v>
      </c>
      <c r="E4" s="82" t="s">
        <v>250</v>
      </c>
      <c r="F4" s="82" t="s">
        <v>251</v>
      </c>
      <c r="G4" s="82" t="s">
        <v>252</v>
      </c>
      <c r="H4" s="82" t="s">
        <v>253</v>
      </c>
      <c r="I4" s="82" t="s">
        <v>254</v>
      </c>
      <c r="J4" s="82" t="s">
        <v>255</v>
      </c>
      <c r="K4" s="82" t="s">
        <v>256</v>
      </c>
      <c r="L4" s="82" t="s">
        <v>257</v>
      </c>
      <c r="M4" s="82" t="s">
        <v>258</v>
      </c>
      <c r="N4" s="82" t="s">
        <v>259</v>
      </c>
      <c r="O4" s="82" t="s">
        <v>260</v>
      </c>
      <c r="P4" s="82" t="s">
        <v>261</v>
      </c>
      <c r="Q4" s="69" t="s">
        <v>160</v>
      </c>
      <c r="R4" s="69" t="s">
        <v>161</v>
      </c>
      <c r="S4" s="406" t="s">
        <v>92</v>
      </c>
    </row>
    <row r="5" spans="1:20" ht="15.5" thickTop="1" thickBot="1" x14ac:dyDescent="0.4">
      <c r="B5" s="26" t="s">
        <v>1</v>
      </c>
      <c r="C5" s="219" t="s">
        <v>26</v>
      </c>
      <c r="D5" s="219" t="s">
        <v>27</v>
      </c>
      <c r="E5" s="219" t="s">
        <v>181</v>
      </c>
      <c r="F5" s="219" t="s">
        <v>22</v>
      </c>
      <c r="G5" s="219" t="s">
        <v>19</v>
      </c>
      <c r="H5" s="219" t="s">
        <v>163</v>
      </c>
      <c r="I5" s="219" t="s">
        <v>20</v>
      </c>
      <c r="J5" s="219" t="s">
        <v>392</v>
      </c>
      <c r="K5" s="219" t="s">
        <v>111</v>
      </c>
      <c r="L5" s="219" t="s">
        <v>23</v>
      </c>
      <c r="M5" s="219" t="s">
        <v>392</v>
      </c>
      <c r="N5" s="219" t="s">
        <v>112</v>
      </c>
      <c r="O5" s="219" t="s">
        <v>116</v>
      </c>
      <c r="P5" s="219" t="s">
        <v>111</v>
      </c>
      <c r="Q5" s="8" t="s">
        <v>2</v>
      </c>
      <c r="R5" s="8" t="s">
        <v>2</v>
      </c>
      <c r="S5" s="407"/>
    </row>
    <row r="6" spans="1:20" ht="15" thickTop="1" x14ac:dyDescent="0.35">
      <c r="B6" s="277" t="s">
        <v>3</v>
      </c>
      <c r="C6" s="318" t="s">
        <v>91</v>
      </c>
      <c r="D6" s="319" t="s">
        <v>58</v>
      </c>
      <c r="E6" s="319" t="s">
        <v>73</v>
      </c>
      <c r="F6" s="319" t="s">
        <v>61</v>
      </c>
      <c r="G6" s="319" t="s">
        <v>64</v>
      </c>
      <c r="H6" s="319" t="s">
        <v>122</v>
      </c>
      <c r="I6" s="319" t="s">
        <v>33</v>
      </c>
      <c r="J6" s="319" t="s">
        <v>77</v>
      </c>
      <c r="K6" s="319" t="s">
        <v>71</v>
      </c>
      <c r="L6" s="319" t="s">
        <v>119</v>
      </c>
      <c r="M6" s="319" t="s">
        <v>76</v>
      </c>
      <c r="N6" s="319" t="s">
        <v>118</v>
      </c>
      <c r="O6" s="319" t="s">
        <v>89</v>
      </c>
      <c r="P6" s="329" t="s">
        <v>68</v>
      </c>
      <c r="Q6" s="190"/>
      <c r="R6" s="198"/>
      <c r="S6" s="196">
        <f t="shared" ref="S6:S19" si="0">SUM(C25:R25)</f>
        <v>6</v>
      </c>
    </row>
    <row r="7" spans="1:20" x14ac:dyDescent="0.35">
      <c r="B7" s="277" t="s">
        <v>29</v>
      </c>
      <c r="C7" s="321" t="s">
        <v>91</v>
      </c>
      <c r="D7" s="298" t="s">
        <v>58</v>
      </c>
      <c r="E7" s="298" t="s">
        <v>88</v>
      </c>
      <c r="F7" s="298" t="s">
        <v>34</v>
      </c>
      <c r="G7" s="298" t="s">
        <v>120</v>
      </c>
      <c r="H7" s="298" t="s">
        <v>122</v>
      </c>
      <c r="I7" s="298" t="s">
        <v>60</v>
      </c>
      <c r="J7" s="298" t="s">
        <v>77</v>
      </c>
      <c r="K7" s="298" t="s">
        <v>71</v>
      </c>
      <c r="L7" s="298" t="s">
        <v>119</v>
      </c>
      <c r="M7" s="298" t="s">
        <v>90</v>
      </c>
      <c r="N7" s="298" t="s">
        <v>118</v>
      </c>
      <c r="O7" s="298" t="s">
        <v>89</v>
      </c>
      <c r="P7" s="330" t="s">
        <v>68</v>
      </c>
      <c r="Q7" s="191"/>
      <c r="R7" s="194"/>
      <c r="S7" s="197">
        <f t="shared" si="0"/>
        <v>9</v>
      </c>
      <c r="T7" s="271">
        <v>5</v>
      </c>
    </row>
    <row r="8" spans="1:20" x14ac:dyDescent="0.35">
      <c r="B8" s="277" t="s">
        <v>30</v>
      </c>
      <c r="C8" s="321" t="s">
        <v>91</v>
      </c>
      <c r="D8" s="298" t="s">
        <v>58</v>
      </c>
      <c r="E8" s="298" t="s">
        <v>88</v>
      </c>
      <c r="F8" s="298" t="s">
        <v>61</v>
      </c>
      <c r="G8" s="298" t="s">
        <v>64</v>
      </c>
      <c r="H8" s="298" t="s">
        <v>122</v>
      </c>
      <c r="I8" s="298" t="s">
        <v>33</v>
      </c>
      <c r="J8" s="298" t="s">
        <v>77</v>
      </c>
      <c r="K8" s="298" t="s">
        <v>87</v>
      </c>
      <c r="L8" s="298" t="s">
        <v>119</v>
      </c>
      <c r="M8" s="298" t="s">
        <v>90</v>
      </c>
      <c r="N8" s="298" t="s">
        <v>118</v>
      </c>
      <c r="O8" s="298" t="s">
        <v>89</v>
      </c>
      <c r="P8" s="330" t="s">
        <v>62</v>
      </c>
      <c r="Q8" s="191"/>
      <c r="R8" s="191"/>
      <c r="S8" s="196">
        <f t="shared" si="0"/>
        <v>4</v>
      </c>
      <c r="T8" s="221"/>
    </row>
    <row r="9" spans="1:20" x14ac:dyDescent="0.35">
      <c r="B9" s="277" t="s">
        <v>31</v>
      </c>
      <c r="C9" s="321" t="s">
        <v>63</v>
      </c>
      <c r="D9" s="317" t="s">
        <v>58</v>
      </c>
      <c r="E9" s="317" t="s">
        <v>88</v>
      </c>
      <c r="F9" s="317" t="s">
        <v>34</v>
      </c>
      <c r="G9" s="317" t="s">
        <v>64</v>
      </c>
      <c r="H9" s="317" t="s">
        <v>122</v>
      </c>
      <c r="I9" s="317" t="s">
        <v>60</v>
      </c>
      <c r="J9" s="317" t="s">
        <v>77</v>
      </c>
      <c r="K9" s="317" t="s">
        <v>71</v>
      </c>
      <c r="L9" s="317" t="s">
        <v>119</v>
      </c>
      <c r="M9" s="317" t="s">
        <v>90</v>
      </c>
      <c r="N9" s="317" t="s">
        <v>118</v>
      </c>
      <c r="O9" s="317" t="s">
        <v>89</v>
      </c>
      <c r="P9" s="324" t="s">
        <v>62</v>
      </c>
      <c r="Q9" s="190"/>
      <c r="R9" s="191"/>
      <c r="S9" s="197">
        <f t="shared" si="0"/>
        <v>6</v>
      </c>
      <c r="T9" s="221"/>
    </row>
    <row r="10" spans="1:20" x14ac:dyDescent="0.35">
      <c r="B10" s="277" t="s">
        <v>32</v>
      </c>
      <c r="C10" s="321" t="s">
        <v>91</v>
      </c>
      <c r="D10" s="298" t="s">
        <v>58</v>
      </c>
      <c r="E10" s="298" t="s">
        <v>73</v>
      </c>
      <c r="F10" s="298" t="s">
        <v>61</v>
      </c>
      <c r="G10" s="298" t="s">
        <v>64</v>
      </c>
      <c r="H10" s="298" t="s">
        <v>66</v>
      </c>
      <c r="I10" s="298" t="s">
        <v>60</v>
      </c>
      <c r="J10" s="298" t="s">
        <v>79</v>
      </c>
      <c r="K10" s="298" t="s">
        <v>71</v>
      </c>
      <c r="L10" s="298" t="s">
        <v>119</v>
      </c>
      <c r="M10" s="298" t="s">
        <v>76</v>
      </c>
      <c r="N10" s="298" t="s">
        <v>118</v>
      </c>
      <c r="O10" s="298" t="s">
        <v>89</v>
      </c>
      <c r="P10" s="330" t="s">
        <v>62</v>
      </c>
      <c r="Q10" s="191"/>
      <c r="R10" s="191"/>
      <c r="S10" s="196">
        <f t="shared" si="0"/>
        <v>6</v>
      </c>
      <c r="T10" s="221"/>
    </row>
    <row r="11" spans="1:20" x14ac:dyDescent="0.35">
      <c r="B11" s="277" t="s">
        <v>35</v>
      </c>
      <c r="C11" s="321" t="s">
        <v>91</v>
      </c>
      <c r="D11" s="298" t="s">
        <v>58</v>
      </c>
      <c r="E11" s="298" t="s">
        <v>73</v>
      </c>
      <c r="F11" s="298" t="s">
        <v>34</v>
      </c>
      <c r="G11" s="298" t="s">
        <v>64</v>
      </c>
      <c r="H11" s="298" t="s">
        <v>122</v>
      </c>
      <c r="I11" s="298" t="s">
        <v>60</v>
      </c>
      <c r="J11" s="298" t="s">
        <v>79</v>
      </c>
      <c r="K11" s="298" t="s">
        <v>87</v>
      </c>
      <c r="L11" s="298" t="s">
        <v>119</v>
      </c>
      <c r="M11" s="298" t="s">
        <v>76</v>
      </c>
      <c r="N11" s="298" t="s">
        <v>118</v>
      </c>
      <c r="O11" s="298" t="s">
        <v>89</v>
      </c>
      <c r="P11" s="330" t="s">
        <v>62</v>
      </c>
      <c r="Q11" s="191"/>
      <c r="R11" s="191"/>
      <c r="S11" s="197">
        <f t="shared" si="0"/>
        <v>5</v>
      </c>
      <c r="T11" s="221"/>
    </row>
    <row r="12" spans="1:20" x14ac:dyDescent="0.35">
      <c r="B12" s="1" t="s">
        <v>36</v>
      </c>
      <c r="C12" s="321" t="s">
        <v>91</v>
      </c>
      <c r="D12" s="298" t="s">
        <v>58</v>
      </c>
      <c r="E12" s="298" t="s">
        <v>73</v>
      </c>
      <c r="F12" s="298" t="s">
        <v>61</v>
      </c>
      <c r="G12" s="298" t="s">
        <v>64</v>
      </c>
      <c r="H12" s="298" t="s">
        <v>66</v>
      </c>
      <c r="I12" s="298" t="s">
        <v>33</v>
      </c>
      <c r="J12" s="298" t="s">
        <v>79</v>
      </c>
      <c r="K12" s="298" t="s">
        <v>87</v>
      </c>
      <c r="L12" s="298" t="s">
        <v>119</v>
      </c>
      <c r="M12" s="298" t="s">
        <v>76</v>
      </c>
      <c r="N12" s="298" t="s">
        <v>118</v>
      </c>
      <c r="O12" s="298" t="s">
        <v>89</v>
      </c>
      <c r="P12" s="330" t="s">
        <v>68</v>
      </c>
      <c r="Q12" s="191"/>
      <c r="R12" s="191"/>
      <c r="S12" s="196">
        <f t="shared" si="0"/>
        <v>5</v>
      </c>
      <c r="T12" s="221"/>
    </row>
    <row r="13" spans="1:20" x14ac:dyDescent="0.35">
      <c r="B13" s="1" t="s">
        <v>37</v>
      </c>
      <c r="C13" s="321" t="s">
        <v>91</v>
      </c>
      <c r="D13" s="298" t="s">
        <v>75</v>
      </c>
      <c r="E13" s="298" t="s">
        <v>73</v>
      </c>
      <c r="F13" s="298" t="s">
        <v>61</v>
      </c>
      <c r="G13" s="298" t="s">
        <v>120</v>
      </c>
      <c r="H13" s="298" t="s">
        <v>122</v>
      </c>
      <c r="I13" s="298" t="s">
        <v>33</v>
      </c>
      <c r="J13" s="298" t="s">
        <v>79</v>
      </c>
      <c r="K13" s="298" t="s">
        <v>71</v>
      </c>
      <c r="L13" s="298" t="s">
        <v>119</v>
      </c>
      <c r="M13" s="298" t="s">
        <v>76</v>
      </c>
      <c r="N13" s="298" t="s">
        <v>118</v>
      </c>
      <c r="O13" s="298" t="s">
        <v>89</v>
      </c>
      <c r="P13" s="330" t="s">
        <v>68</v>
      </c>
      <c r="Q13" s="190"/>
      <c r="R13" s="189"/>
      <c r="S13" s="197">
        <f t="shared" si="0"/>
        <v>7</v>
      </c>
      <c r="T13" s="221"/>
    </row>
    <row r="14" spans="1:20" x14ac:dyDescent="0.35">
      <c r="B14" s="1" t="s">
        <v>57</v>
      </c>
      <c r="C14" s="321" t="s">
        <v>91</v>
      </c>
      <c r="D14" s="298" t="s">
        <v>75</v>
      </c>
      <c r="E14" s="298" t="s">
        <v>73</v>
      </c>
      <c r="F14" s="298" t="s">
        <v>61</v>
      </c>
      <c r="G14" s="298" t="s">
        <v>64</v>
      </c>
      <c r="H14" s="298" t="s">
        <v>122</v>
      </c>
      <c r="I14" s="298" t="s">
        <v>60</v>
      </c>
      <c r="J14" s="298" t="s">
        <v>79</v>
      </c>
      <c r="K14" s="298" t="s">
        <v>87</v>
      </c>
      <c r="L14" s="298" t="s">
        <v>119</v>
      </c>
      <c r="M14" s="298" t="s">
        <v>76</v>
      </c>
      <c r="N14" s="298" t="s">
        <v>118</v>
      </c>
      <c r="O14" s="298" t="s">
        <v>89</v>
      </c>
      <c r="P14" s="330" t="s">
        <v>62</v>
      </c>
      <c r="Q14" s="189"/>
      <c r="R14" s="189"/>
      <c r="S14" s="196">
        <f t="shared" si="0"/>
        <v>5</v>
      </c>
      <c r="T14" s="221"/>
    </row>
    <row r="15" spans="1:20" s="185" customFormat="1" x14ac:dyDescent="0.35">
      <c r="B15" s="1" t="s">
        <v>379</v>
      </c>
      <c r="C15" s="321" t="s">
        <v>91</v>
      </c>
      <c r="D15" s="298" t="s">
        <v>58</v>
      </c>
      <c r="E15" s="298" t="s">
        <v>73</v>
      </c>
      <c r="F15" s="298" t="s">
        <v>61</v>
      </c>
      <c r="G15" s="298" t="s">
        <v>120</v>
      </c>
      <c r="H15" s="298" t="s">
        <v>66</v>
      </c>
      <c r="I15" s="298" t="s">
        <v>60</v>
      </c>
      <c r="J15" s="298" t="s">
        <v>79</v>
      </c>
      <c r="K15" s="298" t="s">
        <v>71</v>
      </c>
      <c r="L15" s="298" t="s">
        <v>121</v>
      </c>
      <c r="M15" s="298" t="s">
        <v>76</v>
      </c>
      <c r="N15" s="298" t="s">
        <v>118</v>
      </c>
      <c r="O15" s="298" t="s">
        <v>89</v>
      </c>
      <c r="P15" s="330" t="s">
        <v>62</v>
      </c>
      <c r="Q15" s="189"/>
      <c r="R15" s="189"/>
      <c r="S15" s="197">
        <f t="shared" si="0"/>
        <v>8</v>
      </c>
      <c r="T15" s="221"/>
    </row>
    <row r="16" spans="1:20" s="185" customFormat="1" x14ac:dyDescent="0.35">
      <c r="B16" s="1" t="s">
        <v>380</v>
      </c>
      <c r="C16" s="321" t="s">
        <v>91</v>
      </c>
      <c r="D16" s="298" t="s">
        <v>58</v>
      </c>
      <c r="E16" s="298" t="s">
        <v>73</v>
      </c>
      <c r="F16" s="298" t="s">
        <v>61</v>
      </c>
      <c r="G16" s="298" t="s">
        <v>120</v>
      </c>
      <c r="H16" s="298" t="s">
        <v>66</v>
      </c>
      <c r="I16" s="298" t="s">
        <v>60</v>
      </c>
      <c r="J16" s="298" t="s">
        <v>79</v>
      </c>
      <c r="K16" s="298" t="s">
        <v>71</v>
      </c>
      <c r="L16" s="298" t="s">
        <v>119</v>
      </c>
      <c r="M16" s="298" t="s">
        <v>76</v>
      </c>
      <c r="N16" s="298" t="s">
        <v>118</v>
      </c>
      <c r="O16" s="298" t="s">
        <v>89</v>
      </c>
      <c r="P16" s="330" t="s">
        <v>68</v>
      </c>
      <c r="Q16" s="189"/>
      <c r="R16" s="189"/>
      <c r="S16" s="196">
        <f t="shared" si="0"/>
        <v>8</v>
      </c>
      <c r="T16" s="221"/>
    </row>
    <row r="17" spans="2:20" s="185" customFormat="1" x14ac:dyDescent="0.35">
      <c r="B17" s="1" t="s">
        <v>381</v>
      </c>
      <c r="C17" s="321" t="s">
        <v>91</v>
      </c>
      <c r="D17" s="298" t="s">
        <v>58</v>
      </c>
      <c r="E17" s="298" t="s">
        <v>88</v>
      </c>
      <c r="F17" s="298" t="s">
        <v>61</v>
      </c>
      <c r="G17" s="298" t="s">
        <v>64</v>
      </c>
      <c r="H17" s="298" t="s">
        <v>66</v>
      </c>
      <c r="I17" s="298" t="s">
        <v>33</v>
      </c>
      <c r="J17" s="298" t="s">
        <v>79</v>
      </c>
      <c r="K17" s="298" t="s">
        <v>71</v>
      </c>
      <c r="L17" s="298" t="s">
        <v>119</v>
      </c>
      <c r="M17" s="298" t="s">
        <v>76</v>
      </c>
      <c r="N17" s="298" t="s">
        <v>118</v>
      </c>
      <c r="O17" s="298" t="s">
        <v>89</v>
      </c>
      <c r="P17" s="330" t="s">
        <v>68</v>
      </c>
      <c r="Q17" s="189"/>
      <c r="R17" s="189"/>
      <c r="S17" s="197">
        <f t="shared" si="0"/>
        <v>5</v>
      </c>
      <c r="T17" s="221"/>
    </row>
    <row r="18" spans="2:20" s="185" customFormat="1" x14ac:dyDescent="0.35">
      <c r="B18" s="1" t="s">
        <v>387</v>
      </c>
      <c r="C18" s="321" t="s">
        <v>91</v>
      </c>
      <c r="D18" s="298" t="s">
        <v>58</v>
      </c>
      <c r="E18" s="298" t="s">
        <v>73</v>
      </c>
      <c r="F18" s="298" t="s">
        <v>34</v>
      </c>
      <c r="G18" s="298" t="s">
        <v>64</v>
      </c>
      <c r="H18" s="298" t="s">
        <v>66</v>
      </c>
      <c r="I18" s="298" t="s">
        <v>60</v>
      </c>
      <c r="J18" s="298" t="s">
        <v>79</v>
      </c>
      <c r="K18" s="298" t="s">
        <v>87</v>
      </c>
      <c r="L18" s="298" t="s">
        <v>119</v>
      </c>
      <c r="M18" s="298" t="s">
        <v>76</v>
      </c>
      <c r="N18" s="298" t="s">
        <v>118</v>
      </c>
      <c r="O18" s="298" t="s">
        <v>89</v>
      </c>
      <c r="P18" s="330" t="s">
        <v>68</v>
      </c>
      <c r="Q18" s="189"/>
      <c r="R18" s="189"/>
      <c r="S18" s="196">
        <f t="shared" si="0"/>
        <v>7</v>
      </c>
      <c r="T18" s="221"/>
    </row>
    <row r="19" spans="2:20" s="185" customFormat="1" ht="15" thickBot="1" x14ac:dyDescent="0.4">
      <c r="B19" s="5" t="s">
        <v>389</v>
      </c>
      <c r="C19" s="325" t="s">
        <v>395</v>
      </c>
      <c r="D19" s="326" t="s">
        <v>396</v>
      </c>
      <c r="E19" s="326" t="s">
        <v>397</v>
      </c>
      <c r="F19" s="326" t="s">
        <v>61</v>
      </c>
      <c r="G19" s="326" t="s">
        <v>64</v>
      </c>
      <c r="H19" s="326" t="s">
        <v>82</v>
      </c>
      <c r="I19" s="326" t="s">
        <v>60</v>
      </c>
      <c r="J19" s="326" t="s">
        <v>79</v>
      </c>
      <c r="K19" s="326" t="s">
        <v>388</v>
      </c>
      <c r="L19" s="326" t="s">
        <v>119</v>
      </c>
      <c r="M19" s="326" t="s">
        <v>86</v>
      </c>
      <c r="N19" s="326" t="s">
        <v>398</v>
      </c>
      <c r="O19" s="326" t="s">
        <v>89</v>
      </c>
      <c r="P19" s="331" t="s">
        <v>68</v>
      </c>
      <c r="Q19" s="189"/>
      <c r="R19" s="189"/>
      <c r="S19" s="204">
        <f t="shared" si="0"/>
        <v>5</v>
      </c>
      <c r="T19" s="221"/>
    </row>
    <row r="20" spans="2:20" ht="15.5" thickTop="1" thickBot="1" x14ac:dyDescent="0.4">
      <c r="B20" s="22" t="s">
        <v>183</v>
      </c>
      <c r="C20" s="181" t="s">
        <v>65</v>
      </c>
      <c r="D20" s="79" t="s">
        <v>117</v>
      </c>
      <c r="E20" s="79" t="s">
        <v>69</v>
      </c>
      <c r="F20" s="79" t="s">
        <v>74</v>
      </c>
      <c r="G20" s="79"/>
      <c r="H20" s="79"/>
      <c r="I20" s="79"/>
      <c r="J20" s="79"/>
      <c r="K20" s="332"/>
      <c r="L20" s="332"/>
      <c r="M20" s="332"/>
      <c r="N20" s="332"/>
      <c r="O20" s="332"/>
      <c r="P20" s="316"/>
      <c r="Q20" s="52"/>
      <c r="R20" s="52"/>
    </row>
    <row r="21" spans="2:20" ht="15" thickTop="1" x14ac:dyDescent="0.35"/>
    <row r="22" spans="2:20" ht="15" thickBot="1" x14ac:dyDescent="0.4"/>
    <row r="23" spans="2:20" ht="15.5" thickTop="1" thickBot="1" x14ac:dyDescent="0.4">
      <c r="B23" s="93" t="s">
        <v>0</v>
      </c>
      <c r="C23" s="90" t="s">
        <v>248</v>
      </c>
      <c r="D23" s="90" t="s">
        <v>249</v>
      </c>
      <c r="E23" s="90" t="s">
        <v>250</v>
      </c>
      <c r="F23" s="90" t="s">
        <v>251</v>
      </c>
      <c r="G23" s="90" t="s">
        <v>252</v>
      </c>
      <c r="H23" s="90" t="s">
        <v>253</v>
      </c>
      <c r="I23" s="90" t="s">
        <v>254</v>
      </c>
      <c r="J23" s="90" t="s">
        <v>255</v>
      </c>
      <c r="K23" s="90" t="s">
        <v>256</v>
      </c>
      <c r="L23" s="90" t="s">
        <v>257</v>
      </c>
      <c r="M23" s="90" t="s">
        <v>258</v>
      </c>
      <c r="N23" s="90" t="s">
        <v>259</v>
      </c>
      <c r="O23" s="90" t="s">
        <v>260</v>
      </c>
      <c r="P23" s="91" t="s">
        <v>261</v>
      </c>
    </row>
    <row r="24" spans="2:20" ht="15.5" thickTop="1" thickBot="1" x14ac:dyDescent="0.4">
      <c r="B24" s="49" t="s">
        <v>1</v>
      </c>
      <c r="C24" s="230" t="s">
        <v>26</v>
      </c>
      <c r="D24" s="230" t="s">
        <v>27</v>
      </c>
      <c r="E24" s="230" t="s">
        <v>181</v>
      </c>
      <c r="F24" s="230" t="s">
        <v>22</v>
      </c>
      <c r="G24" s="230" t="s">
        <v>19</v>
      </c>
      <c r="H24" s="230" t="s">
        <v>163</v>
      </c>
      <c r="I24" s="230" t="s">
        <v>20</v>
      </c>
      <c r="J24" s="230" t="s">
        <v>392</v>
      </c>
      <c r="K24" s="230" t="s">
        <v>111</v>
      </c>
      <c r="L24" s="230" t="s">
        <v>23</v>
      </c>
      <c r="M24" s="230" t="s">
        <v>392</v>
      </c>
      <c r="N24" s="230" t="s">
        <v>112</v>
      </c>
      <c r="O24" s="230" t="s">
        <v>116</v>
      </c>
      <c r="P24" s="237" t="s">
        <v>111</v>
      </c>
    </row>
    <row r="25" spans="2:20" ht="15" thickTop="1" x14ac:dyDescent="0.35">
      <c r="B25" s="241" t="s">
        <v>3</v>
      </c>
      <c r="C25" s="231">
        <f>IF(C6="BAL",1,"-")</f>
        <v>1</v>
      </c>
      <c r="D25" s="240" t="str">
        <f>IF(D6="phi",1,"-")</f>
        <v>-</v>
      </c>
      <c r="E25" s="240">
        <f>IF(E6="tb",1,"-")</f>
        <v>1</v>
      </c>
      <c r="F25" s="240" t="str">
        <f>IF(F6="DEN",1,"-")</f>
        <v>-</v>
      </c>
      <c r="G25" s="240" t="str">
        <f>IF(G6="ten",1,"-")</f>
        <v>-</v>
      </c>
      <c r="H25" s="240" t="str">
        <f>IF(H6="hou",1,"-")</f>
        <v>-</v>
      </c>
      <c r="I25" s="240" t="str">
        <f>IF(I6="kc",1,"-")</f>
        <v>-</v>
      </c>
      <c r="J25" s="240">
        <f>IF(J6="la",1,"-")</f>
        <v>1</v>
      </c>
      <c r="K25" s="240">
        <f>IF(K6="was",1,"-")</f>
        <v>1</v>
      </c>
      <c r="L25" s="240" t="str">
        <f>IF(L6="mia",1,"-")</f>
        <v>-</v>
      </c>
      <c r="M25" s="240" t="str">
        <f>IF(M6="dal",1,"-")</f>
        <v>-</v>
      </c>
      <c r="N25" s="240">
        <f>IF(N6="ari",1,"-")</f>
        <v>1</v>
      </c>
      <c r="O25" s="240" t="str">
        <f>IF(O6="sea",1,"-")</f>
        <v>-</v>
      </c>
      <c r="P25" s="232">
        <f>IF(P6="nyg",1,"-")</f>
        <v>1</v>
      </c>
    </row>
    <row r="26" spans="2:20" x14ac:dyDescent="0.35">
      <c r="B26" s="239" t="s">
        <v>29</v>
      </c>
      <c r="C26" s="233">
        <f t="shared" ref="C26:C38" si="1">IF(C7="BAL",1,"-")</f>
        <v>1</v>
      </c>
      <c r="D26" s="228" t="str">
        <f t="shared" ref="D26:D38" si="2">IF(D7="phi",1,"-")</f>
        <v>-</v>
      </c>
      <c r="E26" s="228" t="str">
        <f t="shared" ref="E26:E38" si="3">IF(E7="tb",1,"-")</f>
        <v>-</v>
      </c>
      <c r="F26" s="228">
        <f t="shared" ref="F26:F38" si="4">IF(F7="DEN",1,"-")</f>
        <v>1</v>
      </c>
      <c r="G26" s="228">
        <f t="shared" ref="G26:G38" si="5">IF(G7="ten",1,"-")</f>
        <v>1</v>
      </c>
      <c r="H26" s="228" t="str">
        <f t="shared" ref="H26:H38" si="6">IF(H7="hou",1,"-")</f>
        <v>-</v>
      </c>
      <c r="I26" s="228">
        <f t="shared" ref="I26:I38" si="7">IF(I7="kc",1,"-")</f>
        <v>1</v>
      </c>
      <c r="J26" s="228">
        <f t="shared" ref="J26:J38" si="8">IF(J7="la",1,"-")</f>
        <v>1</v>
      </c>
      <c r="K26" s="228">
        <f t="shared" ref="K26:K38" si="9">IF(K7="was",1,"-")</f>
        <v>1</v>
      </c>
      <c r="L26" s="228" t="str">
        <f t="shared" ref="L26:L38" si="10">IF(L7="mia",1,"-")</f>
        <v>-</v>
      </c>
      <c r="M26" s="228">
        <f t="shared" ref="M26:M38" si="11">IF(M7="dal",1,"-")</f>
        <v>1</v>
      </c>
      <c r="N26" s="228">
        <f t="shared" ref="N26:N38" si="12">IF(N7="ari",1,"-")</f>
        <v>1</v>
      </c>
      <c r="O26" s="228" t="str">
        <f t="shared" ref="O26:O38" si="13">IF(O7="sea",1,"-")</f>
        <v>-</v>
      </c>
      <c r="P26" s="234">
        <f t="shared" ref="P26:P38" si="14">IF(P7="nyg",1,"-")</f>
        <v>1</v>
      </c>
    </row>
    <row r="27" spans="2:20" x14ac:dyDescent="0.35">
      <c r="B27" s="238" t="s">
        <v>30</v>
      </c>
      <c r="C27" s="233">
        <f t="shared" si="1"/>
        <v>1</v>
      </c>
      <c r="D27" s="228" t="str">
        <f t="shared" si="2"/>
        <v>-</v>
      </c>
      <c r="E27" s="228" t="str">
        <f t="shared" si="3"/>
        <v>-</v>
      </c>
      <c r="F27" s="228" t="str">
        <f t="shared" si="4"/>
        <v>-</v>
      </c>
      <c r="G27" s="228" t="str">
        <f t="shared" si="5"/>
        <v>-</v>
      </c>
      <c r="H27" s="228" t="str">
        <f t="shared" si="6"/>
        <v>-</v>
      </c>
      <c r="I27" s="228" t="str">
        <f t="shared" si="7"/>
        <v>-</v>
      </c>
      <c r="J27" s="228">
        <f t="shared" si="8"/>
        <v>1</v>
      </c>
      <c r="K27" s="228" t="str">
        <f t="shared" si="9"/>
        <v>-</v>
      </c>
      <c r="L27" s="228" t="str">
        <f t="shared" si="10"/>
        <v>-</v>
      </c>
      <c r="M27" s="228">
        <f t="shared" si="11"/>
        <v>1</v>
      </c>
      <c r="N27" s="228">
        <f t="shared" si="12"/>
        <v>1</v>
      </c>
      <c r="O27" s="228" t="str">
        <f t="shared" si="13"/>
        <v>-</v>
      </c>
      <c r="P27" s="234" t="str">
        <f t="shared" si="14"/>
        <v>-</v>
      </c>
    </row>
    <row r="28" spans="2:20" x14ac:dyDescent="0.35">
      <c r="B28" s="239" t="s">
        <v>31</v>
      </c>
      <c r="C28" s="233" t="str">
        <f t="shared" si="1"/>
        <v>-</v>
      </c>
      <c r="D28" s="228" t="str">
        <f t="shared" si="2"/>
        <v>-</v>
      </c>
      <c r="E28" s="228" t="str">
        <f t="shared" si="3"/>
        <v>-</v>
      </c>
      <c r="F28" s="228">
        <f t="shared" si="4"/>
        <v>1</v>
      </c>
      <c r="G28" s="228" t="str">
        <f t="shared" si="5"/>
        <v>-</v>
      </c>
      <c r="H28" s="228" t="str">
        <f t="shared" si="6"/>
        <v>-</v>
      </c>
      <c r="I28" s="228">
        <f t="shared" si="7"/>
        <v>1</v>
      </c>
      <c r="J28" s="228">
        <f t="shared" si="8"/>
        <v>1</v>
      </c>
      <c r="K28" s="228">
        <f t="shared" si="9"/>
        <v>1</v>
      </c>
      <c r="L28" s="228" t="str">
        <f t="shared" si="10"/>
        <v>-</v>
      </c>
      <c r="M28" s="228">
        <f t="shared" si="11"/>
        <v>1</v>
      </c>
      <c r="N28" s="228">
        <f t="shared" si="12"/>
        <v>1</v>
      </c>
      <c r="O28" s="228" t="str">
        <f t="shared" si="13"/>
        <v>-</v>
      </c>
      <c r="P28" s="234" t="str">
        <f t="shared" si="14"/>
        <v>-</v>
      </c>
    </row>
    <row r="29" spans="2:20" x14ac:dyDescent="0.35">
      <c r="B29" s="238" t="s">
        <v>32</v>
      </c>
      <c r="C29" s="233">
        <f t="shared" si="1"/>
        <v>1</v>
      </c>
      <c r="D29" s="228" t="str">
        <f t="shared" si="2"/>
        <v>-</v>
      </c>
      <c r="E29" s="228">
        <f t="shared" si="3"/>
        <v>1</v>
      </c>
      <c r="F29" s="228" t="str">
        <f t="shared" si="4"/>
        <v>-</v>
      </c>
      <c r="G29" s="228" t="str">
        <f t="shared" si="5"/>
        <v>-</v>
      </c>
      <c r="H29" s="228">
        <f t="shared" si="6"/>
        <v>1</v>
      </c>
      <c r="I29" s="228">
        <f t="shared" si="7"/>
        <v>1</v>
      </c>
      <c r="J29" s="228" t="str">
        <f t="shared" si="8"/>
        <v>-</v>
      </c>
      <c r="K29" s="228">
        <f t="shared" si="9"/>
        <v>1</v>
      </c>
      <c r="L29" s="228" t="str">
        <f t="shared" si="10"/>
        <v>-</v>
      </c>
      <c r="M29" s="228" t="str">
        <f t="shared" si="11"/>
        <v>-</v>
      </c>
      <c r="N29" s="228">
        <f t="shared" si="12"/>
        <v>1</v>
      </c>
      <c r="O29" s="228" t="str">
        <f t="shared" si="13"/>
        <v>-</v>
      </c>
      <c r="P29" s="234" t="str">
        <f t="shared" si="14"/>
        <v>-</v>
      </c>
    </row>
    <row r="30" spans="2:20" x14ac:dyDescent="0.35">
      <c r="B30" s="239" t="s">
        <v>35</v>
      </c>
      <c r="C30" s="233">
        <f t="shared" si="1"/>
        <v>1</v>
      </c>
      <c r="D30" s="228" t="str">
        <f t="shared" si="2"/>
        <v>-</v>
      </c>
      <c r="E30" s="228">
        <f t="shared" si="3"/>
        <v>1</v>
      </c>
      <c r="F30" s="228">
        <f t="shared" si="4"/>
        <v>1</v>
      </c>
      <c r="G30" s="228" t="str">
        <f t="shared" si="5"/>
        <v>-</v>
      </c>
      <c r="H30" s="228" t="str">
        <f t="shared" si="6"/>
        <v>-</v>
      </c>
      <c r="I30" s="228">
        <f t="shared" si="7"/>
        <v>1</v>
      </c>
      <c r="J30" s="228" t="str">
        <f t="shared" si="8"/>
        <v>-</v>
      </c>
      <c r="K30" s="228" t="str">
        <f t="shared" si="9"/>
        <v>-</v>
      </c>
      <c r="L30" s="228" t="str">
        <f t="shared" si="10"/>
        <v>-</v>
      </c>
      <c r="M30" s="228" t="str">
        <f t="shared" si="11"/>
        <v>-</v>
      </c>
      <c r="N30" s="228">
        <f t="shared" si="12"/>
        <v>1</v>
      </c>
      <c r="O30" s="228" t="str">
        <f t="shared" si="13"/>
        <v>-</v>
      </c>
      <c r="P30" s="234" t="str">
        <f t="shared" si="14"/>
        <v>-</v>
      </c>
    </row>
    <row r="31" spans="2:20" x14ac:dyDescent="0.35">
      <c r="B31" s="238" t="s">
        <v>36</v>
      </c>
      <c r="C31" s="233">
        <f t="shared" si="1"/>
        <v>1</v>
      </c>
      <c r="D31" s="228" t="str">
        <f t="shared" si="2"/>
        <v>-</v>
      </c>
      <c r="E31" s="228">
        <f t="shared" si="3"/>
        <v>1</v>
      </c>
      <c r="F31" s="228" t="str">
        <f t="shared" si="4"/>
        <v>-</v>
      </c>
      <c r="G31" s="228" t="str">
        <f t="shared" si="5"/>
        <v>-</v>
      </c>
      <c r="H31" s="228">
        <f t="shared" si="6"/>
        <v>1</v>
      </c>
      <c r="I31" s="228" t="str">
        <f t="shared" si="7"/>
        <v>-</v>
      </c>
      <c r="J31" s="228" t="str">
        <f t="shared" si="8"/>
        <v>-</v>
      </c>
      <c r="K31" s="228" t="str">
        <f t="shared" si="9"/>
        <v>-</v>
      </c>
      <c r="L31" s="228" t="str">
        <f t="shared" si="10"/>
        <v>-</v>
      </c>
      <c r="M31" s="228" t="str">
        <f t="shared" si="11"/>
        <v>-</v>
      </c>
      <c r="N31" s="228">
        <f t="shared" si="12"/>
        <v>1</v>
      </c>
      <c r="O31" s="228" t="str">
        <f t="shared" si="13"/>
        <v>-</v>
      </c>
      <c r="P31" s="234">
        <f t="shared" si="14"/>
        <v>1</v>
      </c>
    </row>
    <row r="32" spans="2:20" x14ac:dyDescent="0.35">
      <c r="B32" s="239" t="s">
        <v>37</v>
      </c>
      <c r="C32" s="233">
        <f t="shared" si="1"/>
        <v>1</v>
      </c>
      <c r="D32" s="228">
        <f t="shared" si="2"/>
        <v>1</v>
      </c>
      <c r="E32" s="228">
        <f t="shared" si="3"/>
        <v>1</v>
      </c>
      <c r="F32" s="228" t="str">
        <f t="shared" si="4"/>
        <v>-</v>
      </c>
      <c r="G32" s="228">
        <f t="shared" si="5"/>
        <v>1</v>
      </c>
      <c r="H32" s="228" t="str">
        <f t="shared" si="6"/>
        <v>-</v>
      </c>
      <c r="I32" s="228" t="str">
        <f t="shared" si="7"/>
        <v>-</v>
      </c>
      <c r="J32" s="228" t="str">
        <f t="shared" si="8"/>
        <v>-</v>
      </c>
      <c r="K32" s="228">
        <f t="shared" si="9"/>
        <v>1</v>
      </c>
      <c r="L32" s="228" t="str">
        <f t="shared" si="10"/>
        <v>-</v>
      </c>
      <c r="M32" s="228" t="str">
        <f t="shared" si="11"/>
        <v>-</v>
      </c>
      <c r="N32" s="228">
        <f t="shared" si="12"/>
        <v>1</v>
      </c>
      <c r="O32" s="228" t="str">
        <f t="shared" si="13"/>
        <v>-</v>
      </c>
      <c r="P32" s="234">
        <f t="shared" si="14"/>
        <v>1</v>
      </c>
    </row>
    <row r="33" spans="2:16" x14ac:dyDescent="0.35">
      <c r="B33" s="238" t="s">
        <v>57</v>
      </c>
      <c r="C33" s="233">
        <f t="shared" si="1"/>
        <v>1</v>
      </c>
      <c r="D33" s="228">
        <f t="shared" si="2"/>
        <v>1</v>
      </c>
      <c r="E33" s="228">
        <f t="shared" si="3"/>
        <v>1</v>
      </c>
      <c r="F33" s="228" t="str">
        <f t="shared" si="4"/>
        <v>-</v>
      </c>
      <c r="G33" s="228" t="str">
        <f t="shared" si="5"/>
        <v>-</v>
      </c>
      <c r="H33" s="228" t="str">
        <f t="shared" si="6"/>
        <v>-</v>
      </c>
      <c r="I33" s="228">
        <f t="shared" si="7"/>
        <v>1</v>
      </c>
      <c r="J33" s="228" t="str">
        <f t="shared" si="8"/>
        <v>-</v>
      </c>
      <c r="K33" s="228" t="str">
        <f t="shared" si="9"/>
        <v>-</v>
      </c>
      <c r="L33" s="228" t="str">
        <f t="shared" si="10"/>
        <v>-</v>
      </c>
      <c r="M33" s="228" t="str">
        <f t="shared" si="11"/>
        <v>-</v>
      </c>
      <c r="N33" s="228">
        <f t="shared" si="12"/>
        <v>1</v>
      </c>
      <c r="O33" s="228" t="str">
        <f t="shared" si="13"/>
        <v>-</v>
      </c>
      <c r="P33" s="234" t="str">
        <f t="shared" si="14"/>
        <v>-</v>
      </c>
    </row>
    <row r="34" spans="2:16" x14ac:dyDescent="0.35">
      <c r="B34" s="239" t="s">
        <v>379</v>
      </c>
      <c r="C34" s="233">
        <f t="shared" si="1"/>
        <v>1</v>
      </c>
      <c r="D34" s="228" t="str">
        <f t="shared" si="2"/>
        <v>-</v>
      </c>
      <c r="E34" s="228">
        <f t="shared" si="3"/>
        <v>1</v>
      </c>
      <c r="F34" s="228" t="str">
        <f t="shared" si="4"/>
        <v>-</v>
      </c>
      <c r="G34" s="228">
        <f t="shared" si="5"/>
        <v>1</v>
      </c>
      <c r="H34" s="228">
        <f t="shared" si="6"/>
        <v>1</v>
      </c>
      <c r="I34" s="228">
        <f t="shared" si="7"/>
        <v>1</v>
      </c>
      <c r="J34" s="228" t="str">
        <f t="shared" si="8"/>
        <v>-</v>
      </c>
      <c r="K34" s="228">
        <f t="shared" si="9"/>
        <v>1</v>
      </c>
      <c r="L34" s="228">
        <f t="shared" si="10"/>
        <v>1</v>
      </c>
      <c r="M34" s="228" t="str">
        <f t="shared" si="11"/>
        <v>-</v>
      </c>
      <c r="N34" s="228">
        <f t="shared" si="12"/>
        <v>1</v>
      </c>
      <c r="O34" s="228" t="str">
        <f t="shared" si="13"/>
        <v>-</v>
      </c>
      <c r="P34" s="234" t="str">
        <f t="shared" si="14"/>
        <v>-</v>
      </c>
    </row>
    <row r="35" spans="2:16" x14ac:dyDescent="0.35">
      <c r="B35" s="238" t="s">
        <v>380</v>
      </c>
      <c r="C35" s="233">
        <f t="shared" si="1"/>
        <v>1</v>
      </c>
      <c r="D35" s="228" t="str">
        <f t="shared" si="2"/>
        <v>-</v>
      </c>
      <c r="E35" s="228">
        <f t="shared" si="3"/>
        <v>1</v>
      </c>
      <c r="F35" s="228" t="str">
        <f t="shared" si="4"/>
        <v>-</v>
      </c>
      <c r="G35" s="228">
        <f t="shared" si="5"/>
        <v>1</v>
      </c>
      <c r="H35" s="228">
        <f t="shared" si="6"/>
        <v>1</v>
      </c>
      <c r="I35" s="228">
        <f t="shared" si="7"/>
        <v>1</v>
      </c>
      <c r="J35" s="228" t="str">
        <f t="shared" si="8"/>
        <v>-</v>
      </c>
      <c r="K35" s="228">
        <f t="shared" si="9"/>
        <v>1</v>
      </c>
      <c r="L35" s="228" t="str">
        <f t="shared" si="10"/>
        <v>-</v>
      </c>
      <c r="M35" s="228" t="str">
        <f t="shared" si="11"/>
        <v>-</v>
      </c>
      <c r="N35" s="228">
        <f t="shared" si="12"/>
        <v>1</v>
      </c>
      <c r="O35" s="228" t="str">
        <f t="shared" si="13"/>
        <v>-</v>
      </c>
      <c r="P35" s="234">
        <f t="shared" si="14"/>
        <v>1</v>
      </c>
    </row>
    <row r="36" spans="2:16" x14ac:dyDescent="0.35">
      <c r="B36" s="239" t="s">
        <v>381</v>
      </c>
      <c r="C36" s="233">
        <f t="shared" si="1"/>
        <v>1</v>
      </c>
      <c r="D36" s="228" t="str">
        <f t="shared" si="2"/>
        <v>-</v>
      </c>
      <c r="E36" s="228" t="str">
        <f t="shared" si="3"/>
        <v>-</v>
      </c>
      <c r="F36" s="228" t="str">
        <f t="shared" si="4"/>
        <v>-</v>
      </c>
      <c r="G36" s="228" t="str">
        <f t="shared" si="5"/>
        <v>-</v>
      </c>
      <c r="H36" s="228">
        <f t="shared" si="6"/>
        <v>1</v>
      </c>
      <c r="I36" s="228" t="str">
        <f t="shared" si="7"/>
        <v>-</v>
      </c>
      <c r="J36" s="228" t="str">
        <f t="shared" si="8"/>
        <v>-</v>
      </c>
      <c r="K36" s="228">
        <f t="shared" si="9"/>
        <v>1</v>
      </c>
      <c r="L36" s="228" t="str">
        <f t="shared" si="10"/>
        <v>-</v>
      </c>
      <c r="M36" s="228" t="str">
        <f t="shared" si="11"/>
        <v>-</v>
      </c>
      <c r="N36" s="228">
        <f t="shared" si="12"/>
        <v>1</v>
      </c>
      <c r="O36" s="228" t="str">
        <f t="shared" si="13"/>
        <v>-</v>
      </c>
      <c r="P36" s="234">
        <f t="shared" si="14"/>
        <v>1</v>
      </c>
    </row>
    <row r="37" spans="2:16" x14ac:dyDescent="0.35">
      <c r="B37" s="238" t="s">
        <v>387</v>
      </c>
      <c r="C37" s="233">
        <f t="shared" si="1"/>
        <v>1</v>
      </c>
      <c r="D37" s="228" t="str">
        <f t="shared" si="2"/>
        <v>-</v>
      </c>
      <c r="E37" s="228">
        <f t="shared" si="3"/>
        <v>1</v>
      </c>
      <c r="F37" s="228">
        <f t="shared" si="4"/>
        <v>1</v>
      </c>
      <c r="G37" s="228" t="str">
        <f t="shared" si="5"/>
        <v>-</v>
      </c>
      <c r="H37" s="228">
        <f t="shared" si="6"/>
        <v>1</v>
      </c>
      <c r="I37" s="228">
        <f t="shared" si="7"/>
        <v>1</v>
      </c>
      <c r="J37" s="228" t="str">
        <f t="shared" si="8"/>
        <v>-</v>
      </c>
      <c r="K37" s="228" t="str">
        <f t="shared" si="9"/>
        <v>-</v>
      </c>
      <c r="L37" s="228" t="str">
        <f t="shared" si="10"/>
        <v>-</v>
      </c>
      <c r="M37" s="228" t="str">
        <f t="shared" si="11"/>
        <v>-</v>
      </c>
      <c r="N37" s="228">
        <f t="shared" si="12"/>
        <v>1</v>
      </c>
      <c r="O37" s="228" t="str">
        <f t="shared" si="13"/>
        <v>-</v>
      </c>
      <c r="P37" s="234">
        <f t="shared" si="14"/>
        <v>1</v>
      </c>
    </row>
    <row r="38" spans="2:16" ht="15" thickBot="1" x14ac:dyDescent="0.4">
      <c r="B38" s="245" t="s">
        <v>389</v>
      </c>
      <c r="C38" s="235">
        <f t="shared" si="1"/>
        <v>1</v>
      </c>
      <c r="D38" s="229" t="str">
        <f t="shared" si="2"/>
        <v>-</v>
      </c>
      <c r="E38" s="229" t="str">
        <f t="shared" si="3"/>
        <v>-</v>
      </c>
      <c r="F38" s="229" t="str">
        <f t="shared" si="4"/>
        <v>-</v>
      </c>
      <c r="G38" s="229" t="str">
        <f t="shared" si="5"/>
        <v>-</v>
      </c>
      <c r="H38" s="229">
        <f t="shared" si="6"/>
        <v>1</v>
      </c>
      <c r="I38" s="229">
        <f t="shared" si="7"/>
        <v>1</v>
      </c>
      <c r="J38" s="229" t="str">
        <f t="shared" si="8"/>
        <v>-</v>
      </c>
      <c r="K38" s="229" t="str">
        <f t="shared" si="9"/>
        <v>-</v>
      </c>
      <c r="L38" s="229" t="str">
        <f t="shared" si="10"/>
        <v>-</v>
      </c>
      <c r="M38" s="229" t="str">
        <f t="shared" si="11"/>
        <v>-</v>
      </c>
      <c r="N38" s="229">
        <f t="shared" si="12"/>
        <v>1</v>
      </c>
      <c r="O38" s="229" t="str">
        <f t="shared" si="13"/>
        <v>-</v>
      </c>
      <c r="P38" s="236">
        <f t="shared" si="14"/>
        <v>1</v>
      </c>
    </row>
    <row r="39" spans="2:16" ht="15" thickTop="1" x14ac:dyDescent="0.35"/>
  </sheetData>
  <mergeCells count="1">
    <mergeCell ref="S4:S5"/>
  </mergeCells>
  <conditionalFormatting sqref="A21:XFD22 A4:A20 A39:XFD1048576 A23:A38 Q23:XFD38 A1:XFD3 T4:XFD20">
    <cfRule type="cellIs" dxfId="3139" priority="261" operator="equal">
      <formula>"PHI"</formula>
    </cfRule>
    <cfRule type="cellIs" dxfId="3138" priority="262" operator="equal">
      <formula>"GB"</formula>
    </cfRule>
    <cfRule type="cellIs" dxfId="3137" priority="263" operator="equal">
      <formula>"MIN"</formula>
    </cfRule>
    <cfRule type="cellIs" dxfId="3136" priority="264" operator="equal">
      <formula>"NYG"</formula>
    </cfRule>
    <cfRule type="cellIs" dxfId="3135" priority="265" operator="equal">
      <formula>"PIT"</formula>
    </cfRule>
    <cfRule type="cellIs" dxfId="3134" priority="266" operator="equal">
      <formula>"KC"</formula>
    </cfRule>
    <cfRule type="cellIs" dxfId="3133" priority="267" operator="equal">
      <formula>"ARI"</formula>
    </cfRule>
    <cfRule type="cellIs" dxfId="3132" priority="268" operator="equal">
      <formula>"LA"</formula>
    </cfRule>
    <cfRule type="cellIs" dxfId="3131" priority="269" operator="equal">
      <formula>"SD"</formula>
    </cfRule>
    <cfRule type="cellIs" dxfId="3130" priority="270" operator="equal">
      <formula>"NO"</formula>
    </cfRule>
    <cfRule type="cellIs" dxfId="3129" priority="271" operator="equal">
      <formula>"SF"</formula>
    </cfRule>
    <cfRule type="cellIs" dxfId="3128" priority="272" operator="equal">
      <formula>"DAL"</formula>
    </cfRule>
    <cfRule type="cellIs" dxfId="3127" priority="273" operator="equal">
      <formula>"TB"</formula>
    </cfRule>
    <cfRule type="cellIs" dxfId="3126" priority="274" operator="equal">
      <formula>"DEN"</formula>
    </cfRule>
    <cfRule type="cellIs" dxfId="3125" priority="275" operator="equal">
      <formula>"BAL"</formula>
    </cfRule>
    <cfRule type="cellIs" dxfId="3124" priority="276" operator="equal">
      <formula>"OAK"</formula>
    </cfRule>
    <cfRule type="cellIs" dxfId="3123" priority="277" operator="equal">
      <formula>"HOU"</formula>
    </cfRule>
    <cfRule type="cellIs" dxfId="3122" priority="278" operator="equal">
      <formula>"TEN"</formula>
    </cfRule>
    <cfRule type="cellIs" dxfId="3121" priority="279" operator="equal">
      <formula>"CHI"</formula>
    </cfRule>
    <cfRule type="cellIs" dxfId="3120" priority="280" operator="equal">
      <formula>"DET"</formula>
    </cfRule>
    <cfRule type="cellIs" dxfId="3119" priority="281" operator="equal">
      <formula>"ATL"</formula>
    </cfRule>
    <cfRule type="cellIs" dxfId="3118" priority="282" operator="equal">
      <formula>"CAR"</formula>
    </cfRule>
    <cfRule type="cellIs" dxfId="3117" priority="283" operator="equal">
      <formula>"IND"</formula>
    </cfRule>
    <cfRule type="cellIs" dxfId="3116" priority="284" operator="equal">
      <formula>"JAX"</formula>
    </cfRule>
    <cfRule type="cellIs" dxfId="3115" priority="285" operator="equal">
      <formula>"NYJ"</formula>
    </cfRule>
    <cfRule type="cellIs" dxfId="3114" priority="286" operator="equal">
      <formula>"SEA"</formula>
    </cfRule>
    <cfRule type="cellIs" dxfId="3113" priority="287" operator="equal">
      <formula>"NE"</formula>
    </cfRule>
    <cfRule type="cellIs" dxfId="3112" priority="288" operator="equal">
      <formula>"BUF"</formula>
    </cfRule>
    <cfRule type="cellIs" dxfId="3111" priority="289" operator="equal">
      <formula>"WAS"</formula>
    </cfRule>
    <cfRule type="cellIs" dxfId="3110" priority="290" operator="equal">
      <formula>"CLE"</formula>
    </cfRule>
    <cfRule type="cellIs" dxfId="3109" priority="291" operator="equal">
      <formula>"CIN"</formula>
    </cfRule>
    <cfRule type="cellIs" dxfId="3108" priority="292" operator="equal">
      <formula>"MIA"</formula>
    </cfRule>
  </conditionalFormatting>
  <conditionalFormatting sqref="B4:S5 B20:S20">
    <cfRule type="cellIs" dxfId="3107" priority="229" operator="equal">
      <formula>"PHI"</formula>
    </cfRule>
    <cfRule type="cellIs" dxfId="3106" priority="230" operator="equal">
      <formula>"GB"</formula>
    </cfRule>
    <cfRule type="cellIs" dxfId="3105" priority="231" operator="equal">
      <formula>"MIN"</formula>
    </cfRule>
    <cfRule type="cellIs" dxfId="3104" priority="232" operator="equal">
      <formula>"NYG"</formula>
    </cfRule>
    <cfRule type="cellIs" dxfId="3103" priority="233" operator="equal">
      <formula>"PIT"</formula>
    </cfRule>
    <cfRule type="cellIs" dxfId="3102" priority="234" operator="equal">
      <formula>"KC"</formula>
    </cfRule>
    <cfRule type="cellIs" dxfId="3101" priority="235" operator="equal">
      <formula>"ARI"</formula>
    </cfRule>
    <cfRule type="cellIs" dxfId="3100" priority="236" operator="equal">
      <formula>"LA"</formula>
    </cfRule>
    <cfRule type="cellIs" dxfId="3099" priority="237" operator="equal">
      <formula>"SD"</formula>
    </cfRule>
    <cfRule type="cellIs" dxfId="3098" priority="238" operator="equal">
      <formula>"NO"</formula>
    </cfRule>
    <cfRule type="cellIs" dxfId="3097" priority="239" operator="equal">
      <formula>"SF"</formula>
    </cfRule>
    <cfRule type="cellIs" dxfId="3096" priority="240" operator="equal">
      <formula>"DAL"</formula>
    </cfRule>
    <cfRule type="cellIs" dxfId="3095" priority="241" operator="equal">
      <formula>"TB"</formula>
    </cfRule>
    <cfRule type="cellIs" dxfId="3094" priority="242" operator="equal">
      <formula>"DEN"</formula>
    </cfRule>
    <cfRule type="cellIs" dxfId="3093" priority="243" operator="equal">
      <formula>"BAL"</formula>
    </cfRule>
    <cfRule type="cellIs" dxfId="3092" priority="244" operator="equal">
      <formula>"OAK"</formula>
    </cfRule>
    <cfRule type="cellIs" dxfId="3091" priority="245" operator="equal">
      <formula>"HOU"</formula>
    </cfRule>
    <cfRule type="cellIs" dxfId="3090" priority="246" operator="equal">
      <formula>"TEN"</formula>
    </cfRule>
    <cfRule type="cellIs" dxfId="3089" priority="247" operator="equal">
      <formula>"CHI"</formula>
    </cfRule>
    <cfRule type="cellIs" dxfId="3088" priority="248" operator="equal">
      <formula>"DET"</formula>
    </cfRule>
    <cfRule type="cellIs" dxfId="3087" priority="249" operator="equal">
      <formula>"ATL"</formula>
    </cfRule>
    <cfRule type="cellIs" dxfId="3086" priority="250" operator="equal">
      <formula>"CAR"</formula>
    </cfRule>
    <cfRule type="cellIs" dxfId="3085" priority="251" operator="equal">
      <formula>"IND"</formula>
    </cfRule>
    <cfRule type="cellIs" dxfId="3084" priority="252" operator="equal">
      <formula>"JAX"</formula>
    </cfRule>
    <cfRule type="cellIs" dxfId="3083" priority="253" operator="equal">
      <formula>"NYJ"</formula>
    </cfRule>
    <cfRule type="cellIs" dxfId="3082" priority="254" operator="equal">
      <formula>"SEA"</formula>
    </cfRule>
    <cfRule type="cellIs" dxfId="3081" priority="255" operator="equal">
      <formula>"NE"</formula>
    </cfRule>
    <cfRule type="cellIs" dxfId="3080" priority="256" operator="equal">
      <formula>"BUF"</formula>
    </cfRule>
    <cfRule type="cellIs" dxfId="3079" priority="257" operator="equal">
      <formula>"WAS"</formula>
    </cfRule>
    <cfRule type="cellIs" dxfId="3078" priority="258" operator="equal">
      <formula>"CLE"</formula>
    </cfRule>
    <cfRule type="cellIs" dxfId="3077" priority="259" operator="equal">
      <formula>"CIN"</formula>
    </cfRule>
    <cfRule type="cellIs" dxfId="3076" priority="260" operator="equal">
      <formula>"MIA"</formula>
    </cfRule>
  </conditionalFormatting>
  <conditionalFormatting sqref="B23:P24">
    <cfRule type="cellIs" dxfId="3075" priority="164" operator="equal">
      <formula>"PHI"</formula>
    </cfRule>
    <cfRule type="cellIs" dxfId="3074" priority="165" operator="equal">
      <formula>"GB"</formula>
    </cfRule>
    <cfRule type="cellIs" dxfId="3073" priority="166" operator="equal">
      <formula>"MIN"</formula>
    </cfRule>
    <cfRule type="cellIs" dxfId="3072" priority="167" operator="equal">
      <formula>"NYG"</formula>
    </cfRule>
    <cfRule type="cellIs" dxfId="3071" priority="168" operator="equal">
      <formula>"PIT"</formula>
    </cfRule>
    <cfRule type="cellIs" dxfId="3070" priority="169" operator="equal">
      <formula>"KC"</formula>
    </cfRule>
    <cfRule type="cellIs" dxfId="3069" priority="170" operator="equal">
      <formula>"ARI"</formula>
    </cfRule>
    <cfRule type="cellIs" dxfId="3068" priority="171" operator="equal">
      <formula>"LA"</formula>
    </cfRule>
    <cfRule type="cellIs" dxfId="3067" priority="172" operator="equal">
      <formula>"SD"</formula>
    </cfRule>
    <cfRule type="cellIs" dxfId="3066" priority="173" operator="equal">
      <formula>"NO"</formula>
    </cfRule>
    <cfRule type="cellIs" dxfId="3065" priority="174" operator="equal">
      <formula>"SF"</formula>
    </cfRule>
    <cfRule type="cellIs" dxfId="3064" priority="175" operator="equal">
      <formula>"DAL"</formula>
    </cfRule>
    <cfRule type="cellIs" dxfId="3063" priority="176" operator="equal">
      <formula>"TB"</formula>
    </cfRule>
    <cfRule type="cellIs" dxfId="3062" priority="177" operator="equal">
      <formula>"DEN"</formula>
    </cfRule>
    <cfRule type="cellIs" dxfId="3061" priority="178" operator="equal">
      <formula>"BAL"</formula>
    </cfRule>
    <cfRule type="cellIs" dxfId="3060" priority="179" operator="equal">
      <formula>"OAK"</formula>
    </cfRule>
    <cfRule type="cellIs" dxfId="3059" priority="180" operator="equal">
      <formula>"HOU"</formula>
    </cfRule>
    <cfRule type="cellIs" dxfId="3058" priority="181" operator="equal">
      <formula>"TEN"</formula>
    </cfRule>
    <cfRule type="cellIs" dxfId="3057" priority="182" operator="equal">
      <formula>"CHI"</formula>
    </cfRule>
    <cfRule type="cellIs" dxfId="3056" priority="183" operator="equal">
      <formula>"DET"</formula>
    </cfRule>
    <cfRule type="cellIs" dxfId="3055" priority="184" operator="equal">
      <formula>"ATL"</formula>
    </cfRule>
    <cfRule type="cellIs" dxfId="3054" priority="185" operator="equal">
      <formula>"CAR"</formula>
    </cfRule>
    <cfRule type="cellIs" dxfId="3053" priority="186" operator="equal">
      <formula>"IND"</formula>
    </cfRule>
    <cfRule type="cellIs" dxfId="3052" priority="187" operator="equal">
      <formula>"JAX"</formula>
    </cfRule>
    <cfRule type="cellIs" dxfId="3051" priority="188" operator="equal">
      <formula>"NYJ"</formula>
    </cfRule>
    <cfRule type="cellIs" dxfId="3050" priority="189" operator="equal">
      <formula>"SEA"</formula>
    </cfRule>
    <cfRule type="cellIs" dxfId="3049" priority="190" operator="equal">
      <formula>"NE"</formula>
    </cfRule>
    <cfRule type="cellIs" dxfId="3048" priority="191" operator="equal">
      <formula>"BUF"</formula>
    </cfRule>
    <cfRule type="cellIs" dxfId="3047" priority="192" operator="equal">
      <formula>"WAS"</formula>
    </cfRule>
    <cfRule type="cellIs" dxfId="3046" priority="193" operator="equal">
      <formula>"CLE"</formula>
    </cfRule>
    <cfRule type="cellIs" dxfId="3045" priority="194" operator="equal">
      <formula>"CIN"</formula>
    </cfRule>
    <cfRule type="cellIs" dxfId="3044" priority="195" operator="equal">
      <formula>"MIA"</formula>
    </cfRule>
  </conditionalFormatting>
  <conditionalFormatting sqref="B37:B38">
    <cfRule type="cellIs" dxfId="3043" priority="2" operator="equal">
      <formula>"PHI"</formula>
    </cfRule>
    <cfRule type="cellIs" dxfId="3042" priority="3" operator="equal">
      <formula>"GB"</formula>
    </cfRule>
    <cfRule type="cellIs" dxfId="3041" priority="4" operator="equal">
      <formula>"MIN"</formula>
    </cfRule>
    <cfRule type="cellIs" dxfId="3040" priority="5" operator="equal">
      <formula>"NYG"</formula>
    </cfRule>
    <cfRule type="cellIs" dxfId="3039" priority="6" operator="equal">
      <formula>"PIT"</formula>
    </cfRule>
    <cfRule type="cellIs" dxfId="3038" priority="7" operator="equal">
      <formula>"KC"</formula>
    </cfRule>
    <cfRule type="cellIs" dxfId="3037" priority="8" operator="equal">
      <formula>"ARI"</formula>
    </cfRule>
    <cfRule type="cellIs" dxfId="3036" priority="9" operator="equal">
      <formula>"LA"</formula>
    </cfRule>
    <cfRule type="cellIs" dxfId="3035" priority="10" operator="equal">
      <formula>"SD"</formula>
    </cfRule>
    <cfRule type="cellIs" dxfId="3034" priority="11" operator="equal">
      <formula>"NO"</formula>
    </cfRule>
    <cfRule type="cellIs" dxfId="3033" priority="12" operator="equal">
      <formula>"SF"</formula>
    </cfRule>
    <cfRule type="cellIs" dxfId="3032" priority="13" operator="equal">
      <formula>"DAL"</formula>
    </cfRule>
    <cfRule type="cellIs" dxfId="3031" priority="14" operator="equal">
      <formula>"TB"</formula>
    </cfRule>
    <cfRule type="cellIs" dxfId="3030" priority="15" operator="equal">
      <formula>"DEN"</formula>
    </cfRule>
    <cfRule type="cellIs" dxfId="3029" priority="16" operator="equal">
      <formula>"BAL"</formula>
    </cfRule>
    <cfRule type="cellIs" dxfId="3028" priority="17" operator="equal">
      <formula>"OAK"</formula>
    </cfRule>
    <cfRule type="cellIs" dxfId="3027" priority="18" operator="equal">
      <formula>"HOU"</formula>
    </cfRule>
    <cfRule type="cellIs" dxfId="3026" priority="19" operator="equal">
      <formula>"TEN"</formula>
    </cfRule>
    <cfRule type="cellIs" dxfId="3025" priority="20" operator="equal">
      <formula>"CHI"</formula>
    </cfRule>
    <cfRule type="cellIs" dxfId="3024" priority="21" operator="equal">
      <formula>"DET"</formula>
    </cfRule>
    <cfRule type="cellIs" dxfId="3023" priority="22" operator="equal">
      <formula>"ATL"</formula>
    </cfRule>
    <cfRule type="cellIs" dxfId="3022" priority="23" operator="equal">
      <formula>"CAR"</formula>
    </cfRule>
    <cfRule type="cellIs" dxfId="3021" priority="24" operator="equal">
      <formula>"IND"</formula>
    </cfRule>
    <cfRule type="cellIs" dxfId="3020" priority="25" operator="equal">
      <formula>"JAX"</formula>
    </cfRule>
    <cfRule type="cellIs" dxfId="3019" priority="26" operator="equal">
      <formula>"NYJ"</formula>
    </cfRule>
    <cfRule type="cellIs" dxfId="3018" priority="27" operator="equal">
      <formula>"SEA"</formula>
    </cfRule>
    <cfRule type="cellIs" dxfId="3017" priority="28" operator="equal">
      <formula>"NE"</formula>
    </cfRule>
    <cfRule type="cellIs" dxfId="3016" priority="29" operator="equal">
      <formula>"BUF"</formula>
    </cfRule>
    <cfRule type="cellIs" dxfId="3015" priority="30" operator="equal">
      <formula>"WAS"</formula>
    </cfRule>
    <cfRule type="cellIs" dxfId="3014" priority="31" operator="equal">
      <formula>"CLE"</formula>
    </cfRule>
    <cfRule type="cellIs" dxfId="3013" priority="32" operator="equal">
      <formula>"CIN"</formula>
    </cfRule>
    <cfRule type="cellIs" dxfId="3012" priority="33" operator="equal">
      <formula>"MIA"</formula>
    </cfRule>
  </conditionalFormatting>
  <conditionalFormatting sqref="B6:S19">
    <cfRule type="cellIs" dxfId="3011" priority="132" operator="equal">
      <formula>"PHI"</formula>
    </cfRule>
    <cfRule type="cellIs" dxfId="3010" priority="133" operator="equal">
      <formula>"GB"</formula>
    </cfRule>
    <cfRule type="cellIs" dxfId="3009" priority="134" operator="equal">
      <formula>"MIN"</formula>
    </cfRule>
    <cfRule type="cellIs" dxfId="3008" priority="135" operator="equal">
      <formula>"NYG"</formula>
    </cfRule>
    <cfRule type="cellIs" dxfId="3007" priority="136" operator="equal">
      <formula>"PIT"</formula>
    </cfRule>
    <cfRule type="cellIs" dxfId="3006" priority="137" operator="equal">
      <formula>"KC"</formula>
    </cfRule>
    <cfRule type="cellIs" dxfId="3005" priority="138" operator="equal">
      <formula>"ARI"</formula>
    </cfRule>
    <cfRule type="cellIs" dxfId="3004" priority="139" operator="equal">
      <formula>"LA"</formula>
    </cfRule>
    <cfRule type="cellIs" dxfId="3003" priority="140" operator="equal">
      <formula>"SD"</formula>
    </cfRule>
    <cfRule type="cellIs" dxfId="3002" priority="141" operator="equal">
      <formula>"NO"</formula>
    </cfRule>
    <cfRule type="cellIs" dxfId="3001" priority="142" operator="equal">
      <formula>"SF"</formula>
    </cfRule>
    <cfRule type="cellIs" dxfId="3000" priority="143" operator="equal">
      <formula>"DAL"</formula>
    </cfRule>
    <cfRule type="cellIs" dxfId="2999" priority="144" operator="equal">
      <formula>"TB"</formula>
    </cfRule>
    <cfRule type="cellIs" dxfId="2998" priority="145" operator="equal">
      <formula>"DEN"</formula>
    </cfRule>
    <cfRule type="cellIs" dxfId="2997" priority="146" operator="equal">
      <formula>"BAL"</formula>
    </cfRule>
    <cfRule type="cellIs" dxfId="2996" priority="147" operator="equal">
      <formula>"OAK"</formula>
    </cfRule>
    <cfRule type="cellIs" dxfId="2995" priority="148" operator="equal">
      <formula>"HOU"</formula>
    </cfRule>
    <cfRule type="cellIs" dxfId="2994" priority="149" operator="equal">
      <formula>"TEN"</formula>
    </cfRule>
    <cfRule type="cellIs" dxfId="2993" priority="150" operator="equal">
      <formula>"CHI"</formula>
    </cfRule>
    <cfRule type="cellIs" dxfId="2992" priority="151" operator="equal">
      <formula>"DET"</formula>
    </cfRule>
    <cfRule type="cellIs" dxfId="2991" priority="152" operator="equal">
      <formula>"ATL"</formula>
    </cfRule>
    <cfRule type="cellIs" dxfId="2990" priority="153" operator="equal">
      <formula>"CAR"</formula>
    </cfRule>
    <cfRule type="cellIs" dxfId="2989" priority="154" operator="equal">
      <formula>"IND"</formula>
    </cfRule>
    <cfRule type="cellIs" dxfId="2988" priority="155" operator="equal">
      <formula>"JAX"</formula>
    </cfRule>
    <cfRule type="cellIs" dxfId="2987" priority="156" operator="equal">
      <formula>"NYJ"</formula>
    </cfRule>
    <cfRule type="cellIs" dxfId="2986" priority="157" operator="equal">
      <formula>"SEA"</formula>
    </cfRule>
    <cfRule type="cellIs" dxfId="2985" priority="158" operator="equal">
      <formula>"NE"</formula>
    </cfRule>
    <cfRule type="cellIs" dxfId="2984" priority="159" operator="equal">
      <formula>"BUF"</formula>
    </cfRule>
    <cfRule type="cellIs" dxfId="2983" priority="160" operator="equal">
      <formula>"WAS"</formula>
    </cfRule>
    <cfRule type="cellIs" dxfId="2982" priority="161" operator="equal">
      <formula>"CLE"</formula>
    </cfRule>
    <cfRule type="cellIs" dxfId="2981" priority="162" operator="equal">
      <formula>"CIN"</formula>
    </cfRule>
    <cfRule type="cellIs" dxfId="2980" priority="163" operator="equal">
      <formula>"MIA"</formula>
    </cfRule>
  </conditionalFormatting>
  <conditionalFormatting sqref="C25:P38">
    <cfRule type="cellIs" dxfId="2979" priority="66" operator="equal">
      <formula>"PHI"</formula>
    </cfRule>
    <cfRule type="cellIs" dxfId="2978" priority="67" operator="equal">
      <formula>"GB"</formula>
    </cfRule>
    <cfRule type="cellIs" dxfId="2977" priority="68" operator="equal">
      <formula>"MIN"</formula>
    </cfRule>
    <cfRule type="cellIs" dxfId="2976" priority="69" operator="equal">
      <formula>"NYG"</formula>
    </cfRule>
    <cfRule type="cellIs" dxfId="2975" priority="70" operator="equal">
      <formula>"PIT"</formula>
    </cfRule>
    <cfRule type="cellIs" dxfId="2974" priority="71" operator="equal">
      <formula>"KC"</formula>
    </cfRule>
    <cfRule type="cellIs" dxfId="2973" priority="72" operator="equal">
      <formula>"ARI"</formula>
    </cfRule>
    <cfRule type="cellIs" dxfId="2972" priority="73" operator="equal">
      <formula>"LA"</formula>
    </cfRule>
    <cfRule type="cellIs" dxfId="2971" priority="74" operator="equal">
      <formula>"SD"</formula>
    </cfRule>
    <cfRule type="cellIs" dxfId="2970" priority="75" operator="equal">
      <formula>"NO"</formula>
    </cfRule>
    <cfRule type="cellIs" dxfId="2969" priority="76" operator="equal">
      <formula>"SF"</formula>
    </cfRule>
    <cfRule type="cellIs" dxfId="2968" priority="77" operator="equal">
      <formula>"DAL"</formula>
    </cfRule>
    <cfRule type="cellIs" dxfId="2967" priority="78" operator="equal">
      <formula>"TB"</formula>
    </cfRule>
    <cfRule type="cellIs" dxfId="2966" priority="79" operator="equal">
      <formula>"DEN"</formula>
    </cfRule>
    <cfRule type="cellIs" dxfId="2965" priority="80" operator="equal">
      <formula>"BAL"</formula>
    </cfRule>
    <cfRule type="cellIs" dxfId="2964" priority="81" operator="equal">
      <formula>"OAK"</formula>
    </cfRule>
    <cfRule type="cellIs" dxfId="2963" priority="82" operator="equal">
      <formula>"HOU"</formula>
    </cfRule>
    <cfRule type="cellIs" dxfId="2962" priority="83" operator="equal">
      <formula>"TEN"</formula>
    </cfRule>
    <cfRule type="cellIs" dxfId="2961" priority="84" operator="equal">
      <formula>"CHI"</formula>
    </cfRule>
    <cfRule type="cellIs" dxfId="2960" priority="85" operator="equal">
      <formula>"DET"</formula>
    </cfRule>
    <cfRule type="cellIs" dxfId="2959" priority="86" operator="equal">
      <formula>"ATL"</formula>
    </cfRule>
    <cfRule type="cellIs" dxfId="2958" priority="87" operator="equal">
      <formula>"CAR"</formula>
    </cfRule>
    <cfRule type="cellIs" dxfId="2957" priority="88" operator="equal">
      <formula>"IND"</formula>
    </cfRule>
    <cfRule type="cellIs" dxfId="2956" priority="89" operator="equal">
      <formula>"JAX"</formula>
    </cfRule>
    <cfRule type="cellIs" dxfId="2955" priority="90" operator="equal">
      <formula>"NYJ"</formula>
    </cfRule>
    <cfRule type="cellIs" dxfId="2954" priority="91" operator="equal">
      <formula>"SEA"</formula>
    </cfRule>
    <cfRule type="cellIs" dxfId="2953" priority="92" operator="equal">
      <formula>"NE"</formula>
    </cfRule>
    <cfRule type="cellIs" dxfId="2952" priority="93" operator="equal">
      <formula>"BUF"</formula>
    </cfRule>
    <cfRule type="cellIs" dxfId="2951" priority="94" operator="equal">
      <formula>"WAS"</formula>
    </cfRule>
    <cfRule type="cellIs" dxfId="2950" priority="95" operator="equal">
      <formula>"CLE"</formula>
    </cfRule>
    <cfRule type="cellIs" dxfId="2949" priority="96" operator="equal">
      <formula>"CIN"</formula>
    </cfRule>
    <cfRule type="cellIs" dxfId="2948" priority="97" operator="equal">
      <formula>"MIA"</formula>
    </cfRule>
  </conditionalFormatting>
  <conditionalFormatting sqref="B25:B36">
    <cfRule type="cellIs" dxfId="2947" priority="34" operator="equal">
      <formula>"PHI"</formula>
    </cfRule>
    <cfRule type="cellIs" dxfId="2946" priority="35" operator="equal">
      <formula>"GB"</formula>
    </cfRule>
    <cfRule type="cellIs" dxfId="2945" priority="36" operator="equal">
      <formula>"MIN"</formula>
    </cfRule>
    <cfRule type="cellIs" dxfId="2944" priority="37" operator="equal">
      <formula>"NYG"</formula>
    </cfRule>
    <cfRule type="cellIs" dxfId="2943" priority="38" operator="equal">
      <formula>"PIT"</formula>
    </cfRule>
    <cfRule type="cellIs" dxfId="2942" priority="39" operator="equal">
      <formula>"KC"</formula>
    </cfRule>
    <cfRule type="cellIs" dxfId="2941" priority="40" operator="equal">
      <formula>"ARI"</formula>
    </cfRule>
    <cfRule type="cellIs" dxfId="2940" priority="41" operator="equal">
      <formula>"LA"</formula>
    </cfRule>
    <cfRule type="cellIs" dxfId="2939" priority="42" operator="equal">
      <formula>"SD"</formula>
    </cfRule>
    <cfRule type="cellIs" dxfId="2938" priority="43" operator="equal">
      <formula>"NO"</formula>
    </cfRule>
    <cfRule type="cellIs" dxfId="2937" priority="44" operator="equal">
      <formula>"SF"</formula>
    </cfRule>
    <cfRule type="cellIs" dxfId="2936" priority="45" operator="equal">
      <formula>"DAL"</formula>
    </cfRule>
    <cfRule type="cellIs" dxfId="2935" priority="46" operator="equal">
      <formula>"TB"</formula>
    </cfRule>
    <cfRule type="cellIs" dxfId="2934" priority="47" operator="equal">
      <formula>"DEN"</formula>
    </cfRule>
    <cfRule type="cellIs" dxfId="2933" priority="48" operator="equal">
      <formula>"BAL"</formula>
    </cfRule>
    <cfRule type="cellIs" dxfId="2932" priority="49" operator="equal">
      <formula>"OAK"</formula>
    </cfRule>
    <cfRule type="cellIs" dxfId="2931" priority="50" operator="equal">
      <formula>"HOU"</formula>
    </cfRule>
    <cfRule type="cellIs" dxfId="2930" priority="51" operator="equal">
      <formula>"TEN"</formula>
    </cfRule>
    <cfRule type="cellIs" dxfId="2929" priority="52" operator="equal">
      <formula>"CHI"</formula>
    </cfRule>
    <cfRule type="cellIs" dxfId="2928" priority="53" operator="equal">
      <formula>"DET"</formula>
    </cfRule>
    <cfRule type="cellIs" dxfId="2927" priority="54" operator="equal">
      <formula>"ATL"</formula>
    </cfRule>
    <cfRule type="cellIs" dxfId="2926" priority="55" operator="equal">
      <formula>"CAR"</formula>
    </cfRule>
    <cfRule type="cellIs" dxfId="2925" priority="56" operator="equal">
      <formula>"IND"</formula>
    </cfRule>
    <cfRule type="cellIs" dxfId="2924" priority="57" operator="equal">
      <formula>"JAX"</formula>
    </cfRule>
    <cfRule type="cellIs" dxfId="2923" priority="58" operator="equal">
      <formula>"NYJ"</formula>
    </cfRule>
    <cfRule type="cellIs" dxfId="2922" priority="59" operator="equal">
      <formula>"SEA"</formula>
    </cfRule>
    <cfRule type="cellIs" dxfId="2921" priority="60" operator="equal">
      <formula>"NE"</formula>
    </cfRule>
    <cfRule type="cellIs" dxfId="2920" priority="61" operator="equal">
      <formula>"BUF"</formula>
    </cfRule>
    <cfRule type="cellIs" dxfId="2919" priority="62" operator="equal">
      <formula>"WAS"</formula>
    </cfRule>
    <cfRule type="cellIs" dxfId="2918" priority="63" operator="equal">
      <formula>"CLE"</formula>
    </cfRule>
    <cfRule type="cellIs" dxfId="2917" priority="64" operator="equal">
      <formula>"CIN"</formula>
    </cfRule>
    <cfRule type="cellIs" dxfId="2916" priority="65" operator="equal">
      <formula>"MIA"</formula>
    </cfRule>
  </conditionalFormatting>
  <conditionalFormatting sqref="C25:P38">
    <cfRule type="colorScale" priority="98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T39"/>
  <sheetViews>
    <sheetView zoomScaleNormal="100" workbookViewId="0"/>
  </sheetViews>
  <sheetFormatPr defaultRowHeight="14.5" x14ac:dyDescent="0.35"/>
  <cols>
    <col min="1" max="1" width="8.7265625" style="41"/>
    <col min="2" max="2" width="10.90625" style="41" bestFit="1" customWidth="1"/>
    <col min="3" max="3" width="8.6328125" style="41" customWidth="1"/>
    <col min="4" max="5" width="9" style="41" customWidth="1"/>
    <col min="6" max="6" width="8.81640625" style="41" customWidth="1"/>
    <col min="7" max="7" width="9.08984375" style="41" customWidth="1"/>
    <col min="8" max="8" width="8.81640625" style="41" customWidth="1"/>
    <col min="9" max="9" width="8.1796875" style="41" customWidth="1"/>
    <col min="10" max="10" width="6.90625" style="41" customWidth="1"/>
    <col min="11" max="11" width="9" style="41" customWidth="1"/>
    <col min="12" max="12" width="8.08984375" style="41" customWidth="1"/>
    <col min="13" max="13" width="6.7265625" style="41" customWidth="1"/>
    <col min="14" max="14" width="8.6328125" style="41" customWidth="1"/>
    <col min="15" max="15" width="8.90625" style="41" customWidth="1"/>
    <col min="16" max="16" width="10.36328125" style="41" bestFit="1" customWidth="1"/>
    <col min="17" max="17" width="9.7265625" style="41" hidden="1" customWidth="1"/>
    <col min="18" max="18" width="9.08984375" style="41" hidden="1" customWidth="1"/>
    <col min="19" max="16384" width="8.7265625" style="41"/>
  </cols>
  <sheetData>
    <row r="1" spans="2:20" x14ac:dyDescent="0.35">
      <c r="C1" s="221"/>
    </row>
    <row r="3" spans="2:20" ht="15" thickBot="1" x14ac:dyDescent="0.4">
      <c r="D3" s="69"/>
      <c r="P3" s="41" t="s">
        <v>399</v>
      </c>
    </row>
    <row r="4" spans="2:20" ht="15.5" customHeight="1" thickTop="1" thickBot="1" x14ac:dyDescent="0.4">
      <c r="B4" s="11" t="s">
        <v>0</v>
      </c>
      <c r="C4" s="82" t="s">
        <v>262</v>
      </c>
      <c r="D4" s="82" t="s">
        <v>263</v>
      </c>
      <c r="E4" s="82" t="s">
        <v>264</v>
      </c>
      <c r="F4" s="82" t="s">
        <v>265</v>
      </c>
      <c r="G4" s="82" t="s">
        <v>266</v>
      </c>
      <c r="H4" s="82" t="s">
        <v>267</v>
      </c>
      <c r="I4" s="82" t="s">
        <v>268</v>
      </c>
      <c r="J4" s="82" t="s">
        <v>269</v>
      </c>
      <c r="K4" s="82" t="s">
        <v>270</v>
      </c>
      <c r="L4" s="82" t="s">
        <v>271</v>
      </c>
      <c r="M4" s="82" t="s">
        <v>272</v>
      </c>
      <c r="N4" s="82" t="s">
        <v>273</v>
      </c>
      <c r="O4" s="82" t="s">
        <v>274</v>
      </c>
      <c r="P4" s="82" t="s">
        <v>275</v>
      </c>
      <c r="Q4" s="69" t="s">
        <v>160</v>
      </c>
      <c r="R4" s="69" t="s">
        <v>161</v>
      </c>
      <c r="S4" s="406" t="s">
        <v>92</v>
      </c>
    </row>
    <row r="5" spans="2:20" ht="15.5" thickTop="1" thickBot="1" x14ac:dyDescent="0.4">
      <c r="B5" s="26" t="s">
        <v>1</v>
      </c>
      <c r="C5" s="219" t="s">
        <v>23</v>
      </c>
      <c r="D5" s="328" t="s">
        <v>140</v>
      </c>
      <c r="E5" s="219" t="s">
        <v>142</v>
      </c>
      <c r="F5" s="219" t="s">
        <v>20</v>
      </c>
      <c r="G5" s="219" t="s">
        <v>142</v>
      </c>
      <c r="H5" s="219" t="s">
        <v>21</v>
      </c>
      <c r="I5" s="219" t="s">
        <v>400</v>
      </c>
      <c r="J5" s="219" t="s">
        <v>116</v>
      </c>
      <c r="K5" s="219" t="s">
        <v>20</v>
      </c>
      <c r="L5" s="219" t="s">
        <v>27</v>
      </c>
      <c r="M5" s="219" t="s">
        <v>401</v>
      </c>
      <c r="N5" s="219" t="s">
        <v>165</v>
      </c>
      <c r="O5" s="219" t="s">
        <v>111</v>
      </c>
      <c r="P5" s="219" t="s">
        <v>25</v>
      </c>
      <c r="Q5" s="8" t="s">
        <v>114</v>
      </c>
      <c r="R5" s="27"/>
      <c r="S5" s="407"/>
    </row>
    <row r="6" spans="2:20" ht="15" thickTop="1" x14ac:dyDescent="0.35">
      <c r="B6" s="277" t="s">
        <v>3</v>
      </c>
      <c r="C6" s="318" t="s">
        <v>33</v>
      </c>
      <c r="D6" s="319" t="s">
        <v>118</v>
      </c>
      <c r="E6" s="319" t="s">
        <v>90</v>
      </c>
      <c r="F6" s="319" t="s">
        <v>65</v>
      </c>
      <c r="G6" s="319" t="s">
        <v>68</v>
      </c>
      <c r="H6" s="319" t="s">
        <v>117</v>
      </c>
      <c r="I6" s="319" t="s">
        <v>76</v>
      </c>
      <c r="J6" s="319" t="s">
        <v>60</v>
      </c>
      <c r="K6" s="319" t="s">
        <v>120</v>
      </c>
      <c r="L6" s="319" t="s">
        <v>121</v>
      </c>
      <c r="M6" s="319" t="s">
        <v>89</v>
      </c>
      <c r="N6" s="319" t="s">
        <v>67</v>
      </c>
      <c r="O6" s="319" t="s">
        <v>64</v>
      </c>
      <c r="P6" s="329" t="s">
        <v>74</v>
      </c>
      <c r="Q6" s="69"/>
      <c r="R6" s="46"/>
      <c r="S6" s="196">
        <f>SUM(C25:R25)</f>
        <v>10</v>
      </c>
    </row>
    <row r="7" spans="2:20" x14ac:dyDescent="0.35">
      <c r="B7" s="277" t="s">
        <v>29</v>
      </c>
      <c r="C7" s="321" t="s">
        <v>61</v>
      </c>
      <c r="D7" s="298" t="s">
        <v>118</v>
      </c>
      <c r="E7" s="298" t="s">
        <v>90</v>
      </c>
      <c r="F7" s="298" t="s">
        <v>65</v>
      </c>
      <c r="G7" s="298" t="s">
        <v>68</v>
      </c>
      <c r="H7" s="298" t="s">
        <v>117</v>
      </c>
      <c r="I7" s="298" t="s">
        <v>76</v>
      </c>
      <c r="J7" s="298" t="s">
        <v>60</v>
      </c>
      <c r="K7" s="298" t="s">
        <v>120</v>
      </c>
      <c r="L7" s="298" t="s">
        <v>121</v>
      </c>
      <c r="M7" s="298" t="s">
        <v>89</v>
      </c>
      <c r="N7" s="298" t="s">
        <v>67</v>
      </c>
      <c r="O7" s="298" t="s">
        <v>71</v>
      </c>
      <c r="P7" s="330" t="s">
        <v>74</v>
      </c>
      <c r="Q7" s="44"/>
      <c r="R7" s="45"/>
      <c r="S7" s="197">
        <f t="shared" ref="S7:S19" si="0">SUM(C26:R26)</f>
        <v>10</v>
      </c>
    </row>
    <row r="8" spans="2:20" x14ac:dyDescent="0.35">
      <c r="B8" s="277" t="s">
        <v>30</v>
      </c>
      <c r="C8" s="321" t="s">
        <v>33</v>
      </c>
      <c r="D8" s="298" t="s">
        <v>118</v>
      </c>
      <c r="E8" s="298" t="s">
        <v>90</v>
      </c>
      <c r="F8" s="298" t="s">
        <v>65</v>
      </c>
      <c r="G8" s="298" t="s">
        <v>68</v>
      </c>
      <c r="H8" s="298" t="s">
        <v>117</v>
      </c>
      <c r="I8" s="298" t="s">
        <v>76</v>
      </c>
      <c r="J8" s="298" t="s">
        <v>60</v>
      </c>
      <c r="K8" s="298" t="s">
        <v>69</v>
      </c>
      <c r="L8" s="298" t="s">
        <v>121</v>
      </c>
      <c r="M8" s="298" t="s">
        <v>89</v>
      </c>
      <c r="N8" s="298" t="s">
        <v>67</v>
      </c>
      <c r="O8" s="298" t="s">
        <v>64</v>
      </c>
      <c r="P8" s="330" t="s">
        <v>66</v>
      </c>
      <c r="Q8" s="44"/>
      <c r="R8" s="44"/>
      <c r="S8" s="196">
        <f t="shared" si="0"/>
        <v>10</v>
      </c>
      <c r="T8" s="272">
        <v>5</v>
      </c>
    </row>
    <row r="9" spans="2:20" x14ac:dyDescent="0.35">
      <c r="B9" s="277" t="s">
        <v>31</v>
      </c>
      <c r="C9" s="323" t="s">
        <v>33</v>
      </c>
      <c r="D9" s="317" t="s">
        <v>87</v>
      </c>
      <c r="E9" s="317" t="s">
        <v>90</v>
      </c>
      <c r="F9" s="317" t="s">
        <v>65</v>
      </c>
      <c r="G9" s="317" t="s">
        <v>68</v>
      </c>
      <c r="H9" s="317" t="s">
        <v>117</v>
      </c>
      <c r="I9" s="317" t="s">
        <v>63</v>
      </c>
      <c r="J9" s="317" t="s">
        <v>60</v>
      </c>
      <c r="K9" s="317" t="s">
        <v>120</v>
      </c>
      <c r="L9" s="317" t="s">
        <v>121</v>
      </c>
      <c r="M9" s="317" t="s">
        <v>89</v>
      </c>
      <c r="N9" s="317" t="s">
        <v>75</v>
      </c>
      <c r="O9" s="317" t="s">
        <v>64</v>
      </c>
      <c r="P9" s="324" t="s">
        <v>74</v>
      </c>
      <c r="Q9" s="69"/>
      <c r="R9" s="44"/>
      <c r="S9" s="197">
        <f t="shared" si="0"/>
        <v>9</v>
      </c>
    </row>
    <row r="10" spans="2:20" x14ac:dyDescent="0.35">
      <c r="B10" s="277" t="s">
        <v>32</v>
      </c>
      <c r="C10" s="321" t="s">
        <v>33</v>
      </c>
      <c r="D10" s="298" t="s">
        <v>87</v>
      </c>
      <c r="E10" s="298" t="s">
        <v>90</v>
      </c>
      <c r="F10" s="298" t="s">
        <v>62</v>
      </c>
      <c r="G10" s="298" t="s">
        <v>68</v>
      </c>
      <c r="H10" s="298" t="s">
        <v>117</v>
      </c>
      <c r="I10" s="298" t="s">
        <v>76</v>
      </c>
      <c r="J10" s="298" t="s">
        <v>60</v>
      </c>
      <c r="K10" s="298" t="s">
        <v>120</v>
      </c>
      <c r="L10" s="298" t="s">
        <v>121</v>
      </c>
      <c r="M10" s="298" t="s">
        <v>89</v>
      </c>
      <c r="N10" s="298" t="s">
        <v>67</v>
      </c>
      <c r="O10" s="298" t="s">
        <v>71</v>
      </c>
      <c r="P10" s="330" t="s">
        <v>74</v>
      </c>
      <c r="Q10" s="44"/>
      <c r="R10" s="44"/>
      <c r="S10" s="196">
        <f t="shared" si="0"/>
        <v>11</v>
      </c>
    </row>
    <row r="11" spans="2:20" x14ac:dyDescent="0.35">
      <c r="B11" s="277" t="s">
        <v>35</v>
      </c>
      <c r="C11" s="321" t="s">
        <v>33</v>
      </c>
      <c r="D11" s="298" t="s">
        <v>118</v>
      </c>
      <c r="E11" s="298" t="s">
        <v>90</v>
      </c>
      <c r="F11" s="298" t="s">
        <v>62</v>
      </c>
      <c r="G11" s="298" t="s">
        <v>68</v>
      </c>
      <c r="H11" s="298" t="s">
        <v>122</v>
      </c>
      <c r="I11" s="298" t="s">
        <v>76</v>
      </c>
      <c r="J11" s="298" t="s">
        <v>60</v>
      </c>
      <c r="K11" s="298" t="s">
        <v>120</v>
      </c>
      <c r="L11" s="298" t="s">
        <v>121</v>
      </c>
      <c r="M11" s="298" t="s">
        <v>89</v>
      </c>
      <c r="N11" s="298" t="s">
        <v>67</v>
      </c>
      <c r="O11" s="298" t="s">
        <v>64</v>
      </c>
      <c r="P11" s="330" t="s">
        <v>74</v>
      </c>
      <c r="Q11" s="44"/>
      <c r="R11" s="44"/>
      <c r="S11" s="197">
        <f t="shared" si="0"/>
        <v>8</v>
      </c>
    </row>
    <row r="12" spans="2:20" x14ac:dyDescent="0.35">
      <c r="B12" s="1" t="s">
        <v>36</v>
      </c>
      <c r="C12" s="321" t="s">
        <v>33</v>
      </c>
      <c r="D12" s="298" t="s">
        <v>87</v>
      </c>
      <c r="E12" s="298" t="s">
        <v>90</v>
      </c>
      <c r="F12" s="298" t="s">
        <v>62</v>
      </c>
      <c r="G12" s="298" t="s">
        <v>68</v>
      </c>
      <c r="H12" s="298" t="s">
        <v>117</v>
      </c>
      <c r="I12" s="298" t="s">
        <v>76</v>
      </c>
      <c r="J12" s="298" t="s">
        <v>60</v>
      </c>
      <c r="K12" s="298" t="s">
        <v>120</v>
      </c>
      <c r="L12" s="298" t="s">
        <v>121</v>
      </c>
      <c r="M12" s="298" t="s">
        <v>89</v>
      </c>
      <c r="N12" s="298" t="s">
        <v>67</v>
      </c>
      <c r="O12" s="298" t="s">
        <v>64</v>
      </c>
      <c r="P12" s="330" t="s">
        <v>74</v>
      </c>
      <c r="Q12" s="44"/>
      <c r="R12" s="44"/>
      <c r="S12" s="196">
        <f t="shared" si="0"/>
        <v>10</v>
      </c>
    </row>
    <row r="13" spans="2:20" x14ac:dyDescent="0.35">
      <c r="B13" s="1" t="s">
        <v>37</v>
      </c>
      <c r="C13" s="321" t="s">
        <v>33</v>
      </c>
      <c r="D13" s="298" t="s">
        <v>87</v>
      </c>
      <c r="E13" s="298" t="s">
        <v>90</v>
      </c>
      <c r="F13" s="298" t="s">
        <v>65</v>
      </c>
      <c r="G13" s="298" t="s">
        <v>68</v>
      </c>
      <c r="H13" s="298" t="s">
        <v>117</v>
      </c>
      <c r="I13" s="298" t="s">
        <v>76</v>
      </c>
      <c r="J13" s="298" t="s">
        <v>60</v>
      </c>
      <c r="K13" s="298" t="s">
        <v>69</v>
      </c>
      <c r="L13" s="298" t="s">
        <v>121</v>
      </c>
      <c r="M13" s="298" t="s">
        <v>89</v>
      </c>
      <c r="N13" s="298" t="s">
        <v>67</v>
      </c>
      <c r="O13" s="298" t="s">
        <v>71</v>
      </c>
      <c r="P13" s="330" t="s">
        <v>74</v>
      </c>
      <c r="Q13" s="69"/>
      <c r="R13" s="47"/>
      <c r="S13" s="197">
        <f t="shared" si="0"/>
        <v>13</v>
      </c>
    </row>
    <row r="14" spans="2:20" x14ac:dyDescent="0.35">
      <c r="B14" s="1" t="s">
        <v>57</v>
      </c>
      <c r="C14" s="321" t="s">
        <v>33</v>
      </c>
      <c r="D14" s="298" t="s">
        <v>87</v>
      </c>
      <c r="E14" s="298" t="s">
        <v>90</v>
      </c>
      <c r="F14" s="298" t="s">
        <v>62</v>
      </c>
      <c r="G14" s="298" t="s">
        <v>68</v>
      </c>
      <c r="H14" s="298" t="s">
        <v>117</v>
      </c>
      <c r="I14" s="298" t="s">
        <v>76</v>
      </c>
      <c r="J14" s="298" t="s">
        <v>60</v>
      </c>
      <c r="K14" s="298" t="s">
        <v>69</v>
      </c>
      <c r="L14" s="298" t="s">
        <v>121</v>
      </c>
      <c r="M14" s="298" t="s">
        <v>89</v>
      </c>
      <c r="N14" s="298" t="s">
        <v>67</v>
      </c>
      <c r="O14" s="298" t="s">
        <v>71</v>
      </c>
      <c r="P14" s="330" t="s">
        <v>74</v>
      </c>
      <c r="Q14" s="47"/>
      <c r="R14" s="47"/>
      <c r="S14" s="196">
        <f t="shared" si="0"/>
        <v>12</v>
      </c>
    </row>
    <row r="15" spans="2:20" s="185" customFormat="1" x14ac:dyDescent="0.35">
      <c r="B15" s="1" t="s">
        <v>379</v>
      </c>
      <c r="C15" s="321" t="s">
        <v>61</v>
      </c>
      <c r="D15" s="298" t="s">
        <v>118</v>
      </c>
      <c r="E15" s="298" t="s">
        <v>90</v>
      </c>
      <c r="F15" s="298" t="s">
        <v>62</v>
      </c>
      <c r="G15" s="298" t="s">
        <v>68</v>
      </c>
      <c r="H15" s="298" t="s">
        <v>117</v>
      </c>
      <c r="I15" s="298" t="s">
        <v>76</v>
      </c>
      <c r="J15" s="298" t="s">
        <v>60</v>
      </c>
      <c r="K15" s="298" t="s">
        <v>120</v>
      </c>
      <c r="L15" s="298" t="s">
        <v>121</v>
      </c>
      <c r="M15" s="298" t="s">
        <v>89</v>
      </c>
      <c r="N15" s="298" t="s">
        <v>67</v>
      </c>
      <c r="O15" s="298" t="s">
        <v>64</v>
      </c>
      <c r="P15" s="330" t="s">
        <v>74</v>
      </c>
      <c r="Q15" s="189"/>
      <c r="R15" s="189"/>
      <c r="S15" s="197">
        <f t="shared" si="0"/>
        <v>8</v>
      </c>
    </row>
    <row r="16" spans="2:20" s="185" customFormat="1" x14ac:dyDescent="0.35">
      <c r="B16" s="1" t="s">
        <v>380</v>
      </c>
      <c r="C16" s="321" t="s">
        <v>33</v>
      </c>
      <c r="D16" s="298" t="s">
        <v>118</v>
      </c>
      <c r="E16" s="298" t="s">
        <v>90</v>
      </c>
      <c r="F16" s="298" t="s">
        <v>62</v>
      </c>
      <c r="G16" s="298" t="s">
        <v>68</v>
      </c>
      <c r="H16" s="298" t="s">
        <v>117</v>
      </c>
      <c r="I16" s="298" t="s">
        <v>76</v>
      </c>
      <c r="J16" s="298" t="s">
        <v>60</v>
      </c>
      <c r="K16" s="298" t="s">
        <v>120</v>
      </c>
      <c r="L16" s="298" t="s">
        <v>77</v>
      </c>
      <c r="M16" s="298" t="s">
        <v>89</v>
      </c>
      <c r="N16" s="298" t="s">
        <v>67</v>
      </c>
      <c r="O16" s="298" t="s">
        <v>71</v>
      </c>
      <c r="P16" s="330" t="s">
        <v>74</v>
      </c>
      <c r="Q16" s="189"/>
      <c r="R16" s="189"/>
      <c r="S16" s="196">
        <f t="shared" si="0"/>
        <v>9</v>
      </c>
    </row>
    <row r="17" spans="2:19" s="185" customFormat="1" x14ac:dyDescent="0.35">
      <c r="B17" s="1" t="s">
        <v>381</v>
      </c>
      <c r="C17" s="321" t="s">
        <v>402</v>
      </c>
      <c r="D17" s="298" t="s">
        <v>388</v>
      </c>
      <c r="E17" s="298" t="s">
        <v>84</v>
      </c>
      <c r="F17" s="298" t="s">
        <v>403</v>
      </c>
      <c r="G17" s="298" t="s">
        <v>68</v>
      </c>
      <c r="H17" s="298" t="s">
        <v>117</v>
      </c>
      <c r="I17" s="298" t="s">
        <v>76</v>
      </c>
      <c r="J17" s="298" t="s">
        <v>60</v>
      </c>
      <c r="K17" s="298" t="s">
        <v>69</v>
      </c>
      <c r="L17" s="298" t="s">
        <v>121</v>
      </c>
      <c r="M17" s="298" t="s">
        <v>89</v>
      </c>
      <c r="N17" s="298" t="s">
        <v>67</v>
      </c>
      <c r="O17" s="298" t="s">
        <v>64</v>
      </c>
      <c r="P17" s="330" t="s">
        <v>74</v>
      </c>
      <c r="Q17" s="189"/>
      <c r="R17" s="189"/>
      <c r="S17" s="197">
        <f t="shared" si="0"/>
        <v>11</v>
      </c>
    </row>
    <row r="18" spans="2:19" s="185" customFormat="1" x14ac:dyDescent="0.35">
      <c r="B18" s="1" t="s">
        <v>387</v>
      </c>
      <c r="C18" s="321" t="s">
        <v>61</v>
      </c>
      <c r="D18" s="298" t="s">
        <v>118</v>
      </c>
      <c r="E18" s="298" t="s">
        <v>90</v>
      </c>
      <c r="F18" s="298" t="s">
        <v>62</v>
      </c>
      <c r="G18" s="298" t="s">
        <v>68</v>
      </c>
      <c r="H18" s="298" t="s">
        <v>117</v>
      </c>
      <c r="I18" s="298" t="s">
        <v>76</v>
      </c>
      <c r="J18" s="298" t="s">
        <v>60</v>
      </c>
      <c r="K18" s="298" t="s">
        <v>120</v>
      </c>
      <c r="L18" s="298" t="s">
        <v>121</v>
      </c>
      <c r="M18" s="298" t="s">
        <v>89</v>
      </c>
      <c r="N18" s="298" t="s">
        <v>67</v>
      </c>
      <c r="O18" s="298" t="s">
        <v>64</v>
      </c>
      <c r="P18" s="330" t="s">
        <v>74</v>
      </c>
      <c r="Q18" s="189"/>
      <c r="R18" s="189"/>
      <c r="S18" s="196">
        <f t="shared" si="0"/>
        <v>8</v>
      </c>
    </row>
    <row r="19" spans="2:19" s="185" customFormat="1" ht="15" thickBot="1" x14ac:dyDescent="0.4">
      <c r="B19" s="5" t="s">
        <v>389</v>
      </c>
      <c r="C19" s="325" t="s">
        <v>61</v>
      </c>
      <c r="D19" s="326" t="s">
        <v>87</v>
      </c>
      <c r="E19" s="326" t="s">
        <v>90</v>
      </c>
      <c r="F19" s="326" t="s">
        <v>62</v>
      </c>
      <c r="G19" s="326" t="s">
        <v>68</v>
      </c>
      <c r="H19" s="326" t="s">
        <v>117</v>
      </c>
      <c r="I19" s="326" t="s">
        <v>76</v>
      </c>
      <c r="J19" s="326" t="s">
        <v>60</v>
      </c>
      <c r="K19" s="326" t="s">
        <v>69</v>
      </c>
      <c r="L19" s="326" t="s">
        <v>121</v>
      </c>
      <c r="M19" s="326" t="s">
        <v>89</v>
      </c>
      <c r="N19" s="326" t="s">
        <v>67</v>
      </c>
      <c r="O19" s="326" t="s">
        <v>71</v>
      </c>
      <c r="P19" s="331" t="s">
        <v>74</v>
      </c>
      <c r="Q19" s="189"/>
      <c r="R19" s="189"/>
      <c r="S19" s="204">
        <f t="shared" si="0"/>
        <v>11</v>
      </c>
    </row>
    <row r="20" spans="2:19" ht="15.5" thickTop="1" thickBot="1" x14ac:dyDescent="0.4">
      <c r="B20" s="22" t="s">
        <v>183</v>
      </c>
      <c r="C20" s="181" t="s">
        <v>58</v>
      </c>
      <c r="D20" s="79" t="s">
        <v>34</v>
      </c>
      <c r="E20" s="79" t="s">
        <v>79</v>
      </c>
      <c r="F20" s="79" t="s">
        <v>119</v>
      </c>
      <c r="G20" s="79"/>
      <c r="H20" s="79"/>
      <c r="I20" s="79"/>
      <c r="J20" s="79"/>
      <c r="K20" s="332"/>
      <c r="L20" s="332"/>
      <c r="M20" s="332"/>
      <c r="N20" s="332"/>
      <c r="O20" s="332"/>
      <c r="P20" s="316"/>
      <c r="Q20" s="52"/>
      <c r="R20" s="52"/>
    </row>
    <row r="21" spans="2:19" ht="15" thickTop="1" x14ac:dyDescent="0.35"/>
    <row r="22" spans="2:19" ht="15" thickBot="1" x14ac:dyDescent="0.4"/>
    <row r="23" spans="2:19" ht="15.5" thickTop="1" thickBot="1" x14ac:dyDescent="0.4">
      <c r="B23" s="54" t="s">
        <v>0</v>
      </c>
      <c r="C23" s="90" t="s">
        <v>262</v>
      </c>
      <c r="D23" s="90" t="s">
        <v>263</v>
      </c>
      <c r="E23" s="90" t="s">
        <v>264</v>
      </c>
      <c r="F23" s="90" t="s">
        <v>265</v>
      </c>
      <c r="G23" s="90" t="s">
        <v>266</v>
      </c>
      <c r="H23" s="90" t="s">
        <v>267</v>
      </c>
      <c r="I23" s="90" t="s">
        <v>268</v>
      </c>
      <c r="J23" s="90" t="s">
        <v>269</v>
      </c>
      <c r="K23" s="90" t="s">
        <v>270</v>
      </c>
      <c r="L23" s="90" t="s">
        <v>271</v>
      </c>
      <c r="M23" s="90" t="s">
        <v>272</v>
      </c>
      <c r="N23" s="90" t="s">
        <v>273</v>
      </c>
      <c r="O23" s="90" t="s">
        <v>274</v>
      </c>
      <c r="P23" s="91" t="s">
        <v>275</v>
      </c>
    </row>
    <row r="24" spans="2:19" ht="15.5" thickTop="1" thickBot="1" x14ac:dyDescent="0.4">
      <c r="B24" s="49" t="s">
        <v>1</v>
      </c>
      <c r="C24" s="230" t="s">
        <v>23</v>
      </c>
      <c r="D24" s="138" t="s">
        <v>140</v>
      </c>
      <c r="E24" s="230" t="s">
        <v>142</v>
      </c>
      <c r="F24" s="230" t="s">
        <v>20</v>
      </c>
      <c r="G24" s="230" t="s">
        <v>142</v>
      </c>
      <c r="H24" s="230" t="s">
        <v>21</v>
      </c>
      <c r="I24" s="230" t="s">
        <v>400</v>
      </c>
      <c r="J24" s="230" t="s">
        <v>116</v>
      </c>
      <c r="K24" s="230" t="s">
        <v>20</v>
      </c>
      <c r="L24" s="230" t="s">
        <v>27</v>
      </c>
      <c r="M24" s="230" t="s">
        <v>401</v>
      </c>
      <c r="N24" s="230" t="s">
        <v>165</v>
      </c>
      <c r="O24" s="230" t="s">
        <v>111</v>
      </c>
      <c r="P24" s="237" t="s">
        <v>25</v>
      </c>
    </row>
    <row r="25" spans="2:19" ht="15.5" thickTop="1" thickBot="1" x14ac:dyDescent="0.4">
      <c r="B25" s="241" t="s">
        <v>3</v>
      </c>
      <c r="C25" s="246">
        <f>IF(C6="car",1,"-")</f>
        <v>1</v>
      </c>
      <c r="D25" s="247" t="str">
        <f>IF(D6="min",1,"-")</f>
        <v>-</v>
      </c>
      <c r="E25" s="247">
        <f>IF(E6="dal",1,"-")</f>
        <v>1</v>
      </c>
      <c r="F25" s="247">
        <f>IF(F6="buf",1,"-")</f>
        <v>1</v>
      </c>
      <c r="G25" s="247">
        <f>IF(G6="nyg",1,"-")</f>
        <v>1</v>
      </c>
      <c r="H25" s="247">
        <f>IF(H6="det",1,"-")</f>
        <v>1</v>
      </c>
      <c r="I25" s="247">
        <f>IF(I6="pit",1,"-")</f>
        <v>1</v>
      </c>
      <c r="J25" s="247" t="str">
        <f>IF(J6="tb",1,"-")</f>
        <v>-</v>
      </c>
      <c r="K25" s="247" t="str">
        <f>IF(K6="ind",1,"-")</f>
        <v>-</v>
      </c>
      <c r="L25" s="247">
        <f>IF(L6="mia",1,"-")</f>
        <v>1</v>
      </c>
      <c r="M25" s="247">
        <f>IF(M6="ne",1,"-")</f>
        <v>1</v>
      </c>
      <c r="N25" s="247">
        <f>IF(N6="sea",1,"-")</f>
        <v>1</v>
      </c>
      <c r="O25" s="247" t="str">
        <f>IF(O6="wAS",1,"-")</f>
        <v>-</v>
      </c>
      <c r="P25" s="248">
        <f>IF(P6="oak",1,"-")</f>
        <v>1</v>
      </c>
    </row>
    <row r="26" spans="2:19" ht="15" thickBot="1" x14ac:dyDescent="0.4">
      <c r="B26" s="239" t="s">
        <v>29</v>
      </c>
      <c r="C26" s="249" t="str">
        <f t="shared" ref="C26:C38" si="1">IF(C7="car",1,"-")</f>
        <v>-</v>
      </c>
      <c r="D26" s="247" t="str">
        <f t="shared" ref="D26:D38" si="2">IF(D7="min",1,"-")</f>
        <v>-</v>
      </c>
      <c r="E26" s="247">
        <f t="shared" ref="E26:E38" si="3">IF(E7="dal",1,"-")</f>
        <v>1</v>
      </c>
      <c r="F26" s="247">
        <f t="shared" ref="F26:F38" si="4">IF(F7="buf",1,"-")</f>
        <v>1</v>
      </c>
      <c r="G26" s="247">
        <f t="shared" ref="G26:G38" si="5">IF(G7="nyg",1,"-")</f>
        <v>1</v>
      </c>
      <c r="H26" s="247">
        <f t="shared" ref="H26:H38" si="6">IF(H7="det",1,"-")</f>
        <v>1</v>
      </c>
      <c r="I26" s="247">
        <f t="shared" ref="I26:I38" si="7">IF(I7="pit",1,"-")</f>
        <v>1</v>
      </c>
      <c r="J26" s="247" t="str">
        <f t="shared" ref="J26:J38" si="8">IF(J7="tb",1,"-")</f>
        <v>-</v>
      </c>
      <c r="K26" s="247" t="str">
        <f t="shared" ref="K26:K38" si="9">IF(K7="ind",1,"-")</f>
        <v>-</v>
      </c>
      <c r="L26" s="247">
        <f t="shared" ref="L26:L38" si="10">IF(L7="mia",1,"-")</f>
        <v>1</v>
      </c>
      <c r="M26" s="247">
        <f t="shared" ref="M26:M38" si="11">IF(M7="ne",1,"-")</f>
        <v>1</v>
      </c>
      <c r="N26" s="247">
        <f t="shared" ref="N26:N38" si="12">IF(N7="sea",1,"-")</f>
        <v>1</v>
      </c>
      <c r="O26" s="247">
        <f t="shared" ref="O26:O38" si="13">IF(O7="wAS",1,"-")</f>
        <v>1</v>
      </c>
      <c r="P26" s="248">
        <f t="shared" ref="P26:P38" si="14">IF(P7="oak",1,"-")</f>
        <v>1</v>
      </c>
    </row>
    <row r="27" spans="2:19" ht="15" thickBot="1" x14ac:dyDescent="0.4">
      <c r="B27" s="238" t="s">
        <v>30</v>
      </c>
      <c r="C27" s="246">
        <f t="shared" si="1"/>
        <v>1</v>
      </c>
      <c r="D27" s="247" t="str">
        <f t="shared" si="2"/>
        <v>-</v>
      </c>
      <c r="E27" s="247">
        <f t="shared" si="3"/>
        <v>1</v>
      </c>
      <c r="F27" s="247">
        <f t="shared" si="4"/>
        <v>1</v>
      </c>
      <c r="G27" s="247">
        <f t="shared" si="5"/>
        <v>1</v>
      </c>
      <c r="H27" s="247">
        <f t="shared" si="6"/>
        <v>1</v>
      </c>
      <c r="I27" s="247">
        <f t="shared" si="7"/>
        <v>1</v>
      </c>
      <c r="J27" s="247" t="str">
        <f t="shared" si="8"/>
        <v>-</v>
      </c>
      <c r="K27" s="247">
        <f t="shared" si="9"/>
        <v>1</v>
      </c>
      <c r="L27" s="247">
        <f t="shared" si="10"/>
        <v>1</v>
      </c>
      <c r="M27" s="247">
        <f t="shared" si="11"/>
        <v>1</v>
      </c>
      <c r="N27" s="247">
        <f t="shared" si="12"/>
        <v>1</v>
      </c>
      <c r="O27" s="247" t="str">
        <f t="shared" si="13"/>
        <v>-</v>
      </c>
      <c r="P27" s="248" t="str">
        <f t="shared" si="14"/>
        <v>-</v>
      </c>
    </row>
    <row r="28" spans="2:19" ht="15" thickBot="1" x14ac:dyDescent="0.4">
      <c r="B28" s="239" t="s">
        <v>31</v>
      </c>
      <c r="C28" s="249">
        <f t="shared" si="1"/>
        <v>1</v>
      </c>
      <c r="D28" s="247">
        <f t="shared" si="2"/>
        <v>1</v>
      </c>
      <c r="E28" s="247">
        <f t="shared" si="3"/>
        <v>1</v>
      </c>
      <c r="F28" s="247">
        <f t="shared" si="4"/>
        <v>1</v>
      </c>
      <c r="G28" s="247">
        <f t="shared" si="5"/>
        <v>1</v>
      </c>
      <c r="H28" s="247">
        <f t="shared" si="6"/>
        <v>1</v>
      </c>
      <c r="I28" s="247" t="str">
        <f t="shared" si="7"/>
        <v>-</v>
      </c>
      <c r="J28" s="247" t="str">
        <f t="shared" si="8"/>
        <v>-</v>
      </c>
      <c r="K28" s="247" t="str">
        <f t="shared" si="9"/>
        <v>-</v>
      </c>
      <c r="L28" s="247">
        <f t="shared" si="10"/>
        <v>1</v>
      </c>
      <c r="M28" s="247">
        <f t="shared" si="11"/>
        <v>1</v>
      </c>
      <c r="N28" s="247" t="str">
        <f t="shared" si="12"/>
        <v>-</v>
      </c>
      <c r="O28" s="247" t="str">
        <f t="shared" si="13"/>
        <v>-</v>
      </c>
      <c r="P28" s="248">
        <f t="shared" si="14"/>
        <v>1</v>
      </c>
    </row>
    <row r="29" spans="2:19" ht="15" thickBot="1" x14ac:dyDescent="0.4">
      <c r="B29" s="238" t="s">
        <v>32</v>
      </c>
      <c r="C29" s="246">
        <f t="shared" si="1"/>
        <v>1</v>
      </c>
      <c r="D29" s="247">
        <f t="shared" si="2"/>
        <v>1</v>
      </c>
      <c r="E29" s="247">
        <f t="shared" si="3"/>
        <v>1</v>
      </c>
      <c r="F29" s="247" t="str">
        <f t="shared" si="4"/>
        <v>-</v>
      </c>
      <c r="G29" s="247">
        <f t="shared" si="5"/>
        <v>1</v>
      </c>
      <c r="H29" s="247">
        <f t="shared" si="6"/>
        <v>1</v>
      </c>
      <c r="I29" s="247">
        <f t="shared" si="7"/>
        <v>1</v>
      </c>
      <c r="J29" s="247" t="str">
        <f t="shared" si="8"/>
        <v>-</v>
      </c>
      <c r="K29" s="247" t="str">
        <f t="shared" si="9"/>
        <v>-</v>
      </c>
      <c r="L29" s="247">
        <f t="shared" si="10"/>
        <v>1</v>
      </c>
      <c r="M29" s="247">
        <f t="shared" si="11"/>
        <v>1</v>
      </c>
      <c r="N29" s="247">
        <f t="shared" si="12"/>
        <v>1</v>
      </c>
      <c r="O29" s="247">
        <f t="shared" si="13"/>
        <v>1</v>
      </c>
      <c r="P29" s="248">
        <f t="shared" si="14"/>
        <v>1</v>
      </c>
    </row>
    <row r="30" spans="2:19" ht="15" thickBot="1" x14ac:dyDescent="0.4">
      <c r="B30" s="239" t="s">
        <v>35</v>
      </c>
      <c r="C30" s="249">
        <f t="shared" si="1"/>
        <v>1</v>
      </c>
      <c r="D30" s="247" t="str">
        <f t="shared" si="2"/>
        <v>-</v>
      </c>
      <c r="E30" s="247">
        <f t="shared" si="3"/>
        <v>1</v>
      </c>
      <c r="F30" s="247" t="str">
        <f t="shared" si="4"/>
        <v>-</v>
      </c>
      <c r="G30" s="247">
        <f t="shared" si="5"/>
        <v>1</v>
      </c>
      <c r="H30" s="247" t="str">
        <f t="shared" si="6"/>
        <v>-</v>
      </c>
      <c r="I30" s="247">
        <f t="shared" si="7"/>
        <v>1</v>
      </c>
      <c r="J30" s="247" t="str">
        <f t="shared" si="8"/>
        <v>-</v>
      </c>
      <c r="K30" s="247" t="str">
        <f t="shared" si="9"/>
        <v>-</v>
      </c>
      <c r="L30" s="247">
        <f t="shared" si="10"/>
        <v>1</v>
      </c>
      <c r="M30" s="247">
        <f t="shared" si="11"/>
        <v>1</v>
      </c>
      <c r="N30" s="247">
        <f t="shared" si="12"/>
        <v>1</v>
      </c>
      <c r="O30" s="247" t="str">
        <f t="shared" si="13"/>
        <v>-</v>
      </c>
      <c r="P30" s="248">
        <f t="shared" si="14"/>
        <v>1</v>
      </c>
    </row>
    <row r="31" spans="2:19" ht="15" thickBot="1" x14ac:dyDescent="0.4">
      <c r="B31" s="238" t="s">
        <v>36</v>
      </c>
      <c r="C31" s="246">
        <f t="shared" si="1"/>
        <v>1</v>
      </c>
      <c r="D31" s="247">
        <f t="shared" si="2"/>
        <v>1</v>
      </c>
      <c r="E31" s="247">
        <f t="shared" si="3"/>
        <v>1</v>
      </c>
      <c r="F31" s="247" t="str">
        <f t="shared" si="4"/>
        <v>-</v>
      </c>
      <c r="G31" s="247">
        <f t="shared" si="5"/>
        <v>1</v>
      </c>
      <c r="H31" s="247">
        <f t="shared" si="6"/>
        <v>1</v>
      </c>
      <c r="I31" s="247">
        <f t="shared" si="7"/>
        <v>1</v>
      </c>
      <c r="J31" s="247" t="str">
        <f t="shared" si="8"/>
        <v>-</v>
      </c>
      <c r="K31" s="247" t="str">
        <f t="shared" si="9"/>
        <v>-</v>
      </c>
      <c r="L31" s="247">
        <f t="shared" si="10"/>
        <v>1</v>
      </c>
      <c r="M31" s="247">
        <f t="shared" si="11"/>
        <v>1</v>
      </c>
      <c r="N31" s="247">
        <f t="shared" si="12"/>
        <v>1</v>
      </c>
      <c r="O31" s="247" t="str">
        <f t="shared" si="13"/>
        <v>-</v>
      </c>
      <c r="P31" s="248">
        <f t="shared" si="14"/>
        <v>1</v>
      </c>
    </row>
    <row r="32" spans="2:19" ht="15" thickBot="1" x14ac:dyDescent="0.4">
      <c r="B32" s="239" t="s">
        <v>37</v>
      </c>
      <c r="C32" s="249">
        <f t="shared" si="1"/>
        <v>1</v>
      </c>
      <c r="D32" s="247">
        <f t="shared" si="2"/>
        <v>1</v>
      </c>
      <c r="E32" s="247">
        <f t="shared" si="3"/>
        <v>1</v>
      </c>
      <c r="F32" s="247">
        <f t="shared" si="4"/>
        <v>1</v>
      </c>
      <c r="G32" s="247">
        <f t="shared" si="5"/>
        <v>1</v>
      </c>
      <c r="H32" s="247">
        <f t="shared" si="6"/>
        <v>1</v>
      </c>
      <c r="I32" s="247">
        <f t="shared" si="7"/>
        <v>1</v>
      </c>
      <c r="J32" s="247" t="str">
        <f t="shared" si="8"/>
        <v>-</v>
      </c>
      <c r="K32" s="247">
        <f t="shared" si="9"/>
        <v>1</v>
      </c>
      <c r="L32" s="247">
        <f t="shared" si="10"/>
        <v>1</v>
      </c>
      <c r="M32" s="247">
        <f t="shared" si="11"/>
        <v>1</v>
      </c>
      <c r="N32" s="247">
        <f t="shared" si="12"/>
        <v>1</v>
      </c>
      <c r="O32" s="247">
        <f t="shared" si="13"/>
        <v>1</v>
      </c>
      <c r="P32" s="248">
        <f t="shared" si="14"/>
        <v>1</v>
      </c>
    </row>
    <row r="33" spans="2:16" ht="15" thickBot="1" x14ac:dyDescent="0.4">
      <c r="B33" s="238" t="s">
        <v>57</v>
      </c>
      <c r="C33" s="246">
        <f t="shared" si="1"/>
        <v>1</v>
      </c>
      <c r="D33" s="247">
        <f t="shared" si="2"/>
        <v>1</v>
      </c>
      <c r="E33" s="247">
        <f t="shared" si="3"/>
        <v>1</v>
      </c>
      <c r="F33" s="247" t="str">
        <f t="shared" si="4"/>
        <v>-</v>
      </c>
      <c r="G33" s="247">
        <f t="shared" si="5"/>
        <v>1</v>
      </c>
      <c r="H33" s="247">
        <f t="shared" si="6"/>
        <v>1</v>
      </c>
      <c r="I33" s="247">
        <f t="shared" si="7"/>
        <v>1</v>
      </c>
      <c r="J33" s="247" t="str">
        <f t="shared" si="8"/>
        <v>-</v>
      </c>
      <c r="K33" s="247">
        <f t="shared" si="9"/>
        <v>1</v>
      </c>
      <c r="L33" s="247">
        <f t="shared" si="10"/>
        <v>1</v>
      </c>
      <c r="M33" s="247">
        <f t="shared" si="11"/>
        <v>1</v>
      </c>
      <c r="N33" s="247">
        <f t="shared" si="12"/>
        <v>1</v>
      </c>
      <c r="O33" s="247">
        <f t="shared" si="13"/>
        <v>1</v>
      </c>
      <c r="P33" s="248">
        <f t="shared" si="14"/>
        <v>1</v>
      </c>
    </row>
    <row r="34" spans="2:16" ht="15" thickBot="1" x14ac:dyDescent="0.4">
      <c r="B34" s="239" t="s">
        <v>379</v>
      </c>
      <c r="C34" s="249" t="str">
        <f t="shared" si="1"/>
        <v>-</v>
      </c>
      <c r="D34" s="247" t="str">
        <f t="shared" si="2"/>
        <v>-</v>
      </c>
      <c r="E34" s="247">
        <f t="shared" si="3"/>
        <v>1</v>
      </c>
      <c r="F34" s="247" t="str">
        <f t="shared" si="4"/>
        <v>-</v>
      </c>
      <c r="G34" s="247">
        <f t="shared" si="5"/>
        <v>1</v>
      </c>
      <c r="H34" s="247">
        <f t="shared" si="6"/>
        <v>1</v>
      </c>
      <c r="I34" s="247">
        <f t="shared" si="7"/>
        <v>1</v>
      </c>
      <c r="J34" s="247" t="str">
        <f t="shared" si="8"/>
        <v>-</v>
      </c>
      <c r="K34" s="247" t="str">
        <f t="shared" si="9"/>
        <v>-</v>
      </c>
      <c r="L34" s="247">
        <f t="shared" si="10"/>
        <v>1</v>
      </c>
      <c r="M34" s="247">
        <f t="shared" si="11"/>
        <v>1</v>
      </c>
      <c r="N34" s="247">
        <f t="shared" si="12"/>
        <v>1</v>
      </c>
      <c r="O34" s="247" t="str">
        <f t="shared" si="13"/>
        <v>-</v>
      </c>
      <c r="P34" s="248">
        <f t="shared" si="14"/>
        <v>1</v>
      </c>
    </row>
    <row r="35" spans="2:16" ht="15" thickBot="1" x14ac:dyDescent="0.4">
      <c r="B35" s="238" t="s">
        <v>380</v>
      </c>
      <c r="C35" s="246">
        <f t="shared" si="1"/>
        <v>1</v>
      </c>
      <c r="D35" s="247" t="str">
        <f t="shared" si="2"/>
        <v>-</v>
      </c>
      <c r="E35" s="247">
        <f t="shared" si="3"/>
        <v>1</v>
      </c>
      <c r="F35" s="247" t="str">
        <f t="shared" si="4"/>
        <v>-</v>
      </c>
      <c r="G35" s="247">
        <f t="shared" si="5"/>
        <v>1</v>
      </c>
      <c r="H35" s="247">
        <f t="shared" si="6"/>
        <v>1</v>
      </c>
      <c r="I35" s="247">
        <f t="shared" si="7"/>
        <v>1</v>
      </c>
      <c r="J35" s="247" t="str">
        <f t="shared" si="8"/>
        <v>-</v>
      </c>
      <c r="K35" s="247" t="str">
        <f t="shared" si="9"/>
        <v>-</v>
      </c>
      <c r="L35" s="247" t="str">
        <f t="shared" si="10"/>
        <v>-</v>
      </c>
      <c r="M35" s="247">
        <f t="shared" si="11"/>
        <v>1</v>
      </c>
      <c r="N35" s="247">
        <f t="shared" si="12"/>
        <v>1</v>
      </c>
      <c r="O35" s="247">
        <f t="shared" si="13"/>
        <v>1</v>
      </c>
      <c r="P35" s="248">
        <f t="shared" si="14"/>
        <v>1</v>
      </c>
    </row>
    <row r="36" spans="2:16" ht="15" thickBot="1" x14ac:dyDescent="0.4">
      <c r="B36" s="239" t="s">
        <v>381</v>
      </c>
      <c r="C36" s="249">
        <f t="shared" si="1"/>
        <v>1</v>
      </c>
      <c r="D36" s="247">
        <f t="shared" si="2"/>
        <v>1</v>
      </c>
      <c r="E36" s="247">
        <f t="shared" si="3"/>
        <v>1</v>
      </c>
      <c r="F36" s="247" t="str">
        <f t="shared" si="4"/>
        <v>-</v>
      </c>
      <c r="G36" s="247">
        <f t="shared" si="5"/>
        <v>1</v>
      </c>
      <c r="H36" s="247">
        <f t="shared" si="6"/>
        <v>1</v>
      </c>
      <c r="I36" s="247">
        <f t="shared" si="7"/>
        <v>1</v>
      </c>
      <c r="J36" s="247" t="str">
        <f t="shared" si="8"/>
        <v>-</v>
      </c>
      <c r="K36" s="247">
        <f t="shared" si="9"/>
        <v>1</v>
      </c>
      <c r="L36" s="247">
        <f t="shared" si="10"/>
        <v>1</v>
      </c>
      <c r="M36" s="247">
        <f t="shared" si="11"/>
        <v>1</v>
      </c>
      <c r="N36" s="247">
        <f t="shared" si="12"/>
        <v>1</v>
      </c>
      <c r="O36" s="247" t="str">
        <f t="shared" si="13"/>
        <v>-</v>
      </c>
      <c r="P36" s="248">
        <f t="shared" si="14"/>
        <v>1</v>
      </c>
    </row>
    <row r="37" spans="2:16" ht="15" thickBot="1" x14ac:dyDescent="0.4">
      <c r="B37" s="238" t="s">
        <v>387</v>
      </c>
      <c r="C37" s="246" t="str">
        <f t="shared" si="1"/>
        <v>-</v>
      </c>
      <c r="D37" s="247" t="str">
        <f t="shared" si="2"/>
        <v>-</v>
      </c>
      <c r="E37" s="247">
        <f t="shared" si="3"/>
        <v>1</v>
      </c>
      <c r="F37" s="247" t="str">
        <f t="shared" si="4"/>
        <v>-</v>
      </c>
      <c r="G37" s="247">
        <f t="shared" si="5"/>
        <v>1</v>
      </c>
      <c r="H37" s="247">
        <f t="shared" si="6"/>
        <v>1</v>
      </c>
      <c r="I37" s="247">
        <f t="shared" si="7"/>
        <v>1</v>
      </c>
      <c r="J37" s="247" t="str">
        <f t="shared" si="8"/>
        <v>-</v>
      </c>
      <c r="K37" s="247" t="str">
        <f t="shared" si="9"/>
        <v>-</v>
      </c>
      <c r="L37" s="247">
        <f t="shared" si="10"/>
        <v>1</v>
      </c>
      <c r="M37" s="247">
        <f t="shared" si="11"/>
        <v>1</v>
      </c>
      <c r="N37" s="247">
        <f t="shared" si="12"/>
        <v>1</v>
      </c>
      <c r="O37" s="247" t="str">
        <f t="shared" si="13"/>
        <v>-</v>
      </c>
      <c r="P37" s="248">
        <f t="shared" si="14"/>
        <v>1</v>
      </c>
    </row>
    <row r="38" spans="2:16" ht="15" thickBot="1" x14ac:dyDescent="0.4">
      <c r="B38" s="245" t="s">
        <v>389</v>
      </c>
      <c r="C38" s="249" t="str">
        <f t="shared" si="1"/>
        <v>-</v>
      </c>
      <c r="D38" s="247">
        <f t="shared" si="2"/>
        <v>1</v>
      </c>
      <c r="E38" s="247">
        <f t="shared" si="3"/>
        <v>1</v>
      </c>
      <c r="F38" s="247" t="str">
        <f t="shared" si="4"/>
        <v>-</v>
      </c>
      <c r="G38" s="247">
        <f t="shared" si="5"/>
        <v>1</v>
      </c>
      <c r="H38" s="247">
        <f t="shared" si="6"/>
        <v>1</v>
      </c>
      <c r="I38" s="247">
        <f t="shared" si="7"/>
        <v>1</v>
      </c>
      <c r="J38" s="247" t="str">
        <f t="shared" si="8"/>
        <v>-</v>
      </c>
      <c r="K38" s="247">
        <f t="shared" si="9"/>
        <v>1</v>
      </c>
      <c r="L38" s="247">
        <f t="shared" si="10"/>
        <v>1</v>
      </c>
      <c r="M38" s="247">
        <f t="shared" si="11"/>
        <v>1</v>
      </c>
      <c r="N38" s="247">
        <f t="shared" si="12"/>
        <v>1</v>
      </c>
      <c r="O38" s="247">
        <f t="shared" si="13"/>
        <v>1</v>
      </c>
      <c r="P38" s="248">
        <f t="shared" si="14"/>
        <v>1</v>
      </c>
    </row>
    <row r="39" spans="2:16" ht="15" thickTop="1" x14ac:dyDescent="0.35"/>
  </sheetData>
  <mergeCells count="1">
    <mergeCell ref="S4:S5"/>
  </mergeCells>
  <conditionalFormatting sqref="A1:XFD3 A21:XFD22 A4:A20 T4:XFD20 A39:XFD1048576 A23:A38 Q23:XFD38">
    <cfRule type="cellIs" dxfId="2902" priority="357" operator="equal">
      <formula>"PHI"</formula>
    </cfRule>
    <cfRule type="cellIs" dxfId="2901" priority="358" operator="equal">
      <formula>"GB"</formula>
    </cfRule>
    <cfRule type="cellIs" dxfId="2900" priority="359" operator="equal">
      <formula>"MIN"</formula>
    </cfRule>
    <cfRule type="cellIs" dxfId="2899" priority="360" operator="equal">
      <formula>"NYG"</formula>
    </cfRule>
    <cfRule type="cellIs" dxfId="2898" priority="361" operator="equal">
      <formula>"PIT"</formula>
    </cfRule>
    <cfRule type="cellIs" dxfId="2897" priority="362" operator="equal">
      <formula>"KC"</formula>
    </cfRule>
    <cfRule type="cellIs" dxfId="2896" priority="363" operator="equal">
      <formula>"ARI"</formula>
    </cfRule>
    <cfRule type="cellIs" dxfId="2895" priority="364" operator="equal">
      <formula>"LA"</formula>
    </cfRule>
    <cfRule type="cellIs" dxfId="2894" priority="365" operator="equal">
      <formula>"SD"</formula>
    </cfRule>
    <cfRule type="cellIs" dxfId="2893" priority="366" operator="equal">
      <formula>"NO"</formula>
    </cfRule>
    <cfRule type="cellIs" dxfId="2892" priority="367" operator="equal">
      <formula>"SF"</formula>
    </cfRule>
    <cfRule type="cellIs" dxfId="2891" priority="368" operator="equal">
      <formula>"DAL"</formula>
    </cfRule>
    <cfRule type="cellIs" dxfId="2890" priority="369" operator="equal">
      <formula>"TB"</formula>
    </cfRule>
    <cfRule type="cellIs" dxfId="2889" priority="370" operator="equal">
      <formula>"DEN"</formula>
    </cfRule>
    <cfRule type="cellIs" dxfId="2888" priority="371" operator="equal">
      <formula>"BAL"</formula>
    </cfRule>
    <cfRule type="cellIs" dxfId="2887" priority="372" operator="equal">
      <formula>"OAK"</formula>
    </cfRule>
    <cfRule type="cellIs" dxfId="2886" priority="373" operator="equal">
      <formula>"HOU"</formula>
    </cfRule>
    <cfRule type="cellIs" dxfId="2885" priority="374" operator="equal">
      <formula>"TEN"</formula>
    </cfRule>
    <cfRule type="cellIs" dxfId="2884" priority="375" operator="equal">
      <formula>"CHI"</formula>
    </cfRule>
    <cfRule type="cellIs" dxfId="2883" priority="376" operator="equal">
      <formula>"DET"</formula>
    </cfRule>
    <cfRule type="cellIs" dxfId="2882" priority="377" operator="equal">
      <formula>"ATL"</formula>
    </cfRule>
    <cfRule type="cellIs" dxfId="2881" priority="378" operator="equal">
      <formula>"CAR"</formula>
    </cfRule>
    <cfRule type="cellIs" dxfId="2880" priority="379" operator="equal">
      <formula>"IND"</formula>
    </cfRule>
    <cfRule type="cellIs" dxfId="2879" priority="380" operator="equal">
      <formula>"JAX"</formula>
    </cfRule>
    <cfRule type="cellIs" dxfId="2878" priority="381" operator="equal">
      <formula>"NYJ"</formula>
    </cfRule>
    <cfRule type="cellIs" dxfId="2877" priority="382" operator="equal">
      <formula>"SEA"</formula>
    </cfRule>
    <cfRule type="cellIs" dxfId="2876" priority="383" operator="equal">
      <formula>"NE"</formula>
    </cfRule>
    <cfRule type="cellIs" dxfId="2875" priority="384" operator="equal">
      <formula>"BUF"</formula>
    </cfRule>
    <cfRule type="cellIs" dxfId="2874" priority="385" operator="equal">
      <formula>"WAS"</formula>
    </cfRule>
    <cfRule type="cellIs" dxfId="2873" priority="386" operator="equal">
      <formula>"CLE"</formula>
    </cfRule>
    <cfRule type="cellIs" dxfId="2872" priority="387" operator="equal">
      <formula>"CIN"</formula>
    </cfRule>
    <cfRule type="cellIs" dxfId="2871" priority="388" operator="equal">
      <formula>"MIA"</formula>
    </cfRule>
  </conditionalFormatting>
  <conditionalFormatting sqref="B4:S5 B20:S20 Q6:R19">
    <cfRule type="cellIs" dxfId="2870" priority="325" operator="equal">
      <formula>"PHI"</formula>
    </cfRule>
    <cfRule type="cellIs" dxfId="2869" priority="326" operator="equal">
      <formula>"GB"</formula>
    </cfRule>
    <cfRule type="cellIs" dxfId="2868" priority="327" operator="equal">
      <formula>"MIN"</formula>
    </cfRule>
    <cfRule type="cellIs" dxfId="2867" priority="328" operator="equal">
      <formula>"NYG"</formula>
    </cfRule>
    <cfRule type="cellIs" dxfId="2866" priority="329" operator="equal">
      <formula>"PIT"</formula>
    </cfRule>
    <cfRule type="cellIs" dxfId="2865" priority="330" operator="equal">
      <formula>"KC"</formula>
    </cfRule>
    <cfRule type="cellIs" dxfId="2864" priority="331" operator="equal">
      <formula>"ARI"</formula>
    </cfRule>
    <cfRule type="cellIs" dxfId="2863" priority="332" operator="equal">
      <formula>"LA"</formula>
    </cfRule>
    <cfRule type="cellIs" dxfId="2862" priority="333" operator="equal">
      <formula>"SD"</formula>
    </cfRule>
    <cfRule type="cellIs" dxfId="2861" priority="334" operator="equal">
      <formula>"NO"</formula>
    </cfRule>
    <cfRule type="cellIs" dxfId="2860" priority="335" operator="equal">
      <formula>"SF"</formula>
    </cfRule>
    <cfRule type="cellIs" dxfId="2859" priority="336" operator="equal">
      <formula>"DAL"</formula>
    </cfRule>
    <cfRule type="cellIs" dxfId="2858" priority="337" operator="equal">
      <formula>"TB"</formula>
    </cfRule>
    <cfRule type="cellIs" dxfId="2857" priority="338" operator="equal">
      <formula>"DEN"</formula>
    </cfRule>
    <cfRule type="cellIs" dxfId="2856" priority="339" operator="equal">
      <formula>"BAL"</formula>
    </cfRule>
    <cfRule type="cellIs" dxfId="2855" priority="340" operator="equal">
      <formula>"OAK"</formula>
    </cfRule>
    <cfRule type="cellIs" dxfId="2854" priority="341" operator="equal">
      <formula>"HOU"</formula>
    </cfRule>
    <cfRule type="cellIs" dxfId="2853" priority="342" operator="equal">
      <formula>"TEN"</formula>
    </cfRule>
    <cfRule type="cellIs" dxfId="2852" priority="343" operator="equal">
      <formula>"CHI"</formula>
    </cfRule>
    <cfRule type="cellIs" dxfId="2851" priority="344" operator="equal">
      <formula>"DET"</formula>
    </cfRule>
    <cfRule type="cellIs" dxfId="2850" priority="345" operator="equal">
      <formula>"ATL"</formula>
    </cfRule>
    <cfRule type="cellIs" dxfId="2849" priority="346" operator="equal">
      <formula>"CAR"</formula>
    </cfRule>
    <cfRule type="cellIs" dxfId="2848" priority="347" operator="equal">
      <formula>"IND"</formula>
    </cfRule>
    <cfRule type="cellIs" dxfId="2847" priority="348" operator="equal">
      <formula>"JAX"</formula>
    </cfRule>
    <cfRule type="cellIs" dxfId="2846" priority="349" operator="equal">
      <formula>"NYJ"</formula>
    </cfRule>
    <cfRule type="cellIs" dxfId="2845" priority="350" operator="equal">
      <formula>"SEA"</formula>
    </cfRule>
    <cfRule type="cellIs" dxfId="2844" priority="351" operator="equal">
      <formula>"NE"</formula>
    </cfRule>
    <cfRule type="cellIs" dxfId="2843" priority="352" operator="equal">
      <formula>"BUF"</formula>
    </cfRule>
    <cfRule type="cellIs" dxfId="2842" priority="353" operator="equal">
      <formula>"WAS"</formula>
    </cfRule>
    <cfRule type="cellIs" dxfId="2841" priority="354" operator="equal">
      <formula>"CLE"</formula>
    </cfRule>
    <cfRule type="cellIs" dxfId="2840" priority="355" operator="equal">
      <formula>"CIN"</formula>
    </cfRule>
    <cfRule type="cellIs" dxfId="2839" priority="356" operator="equal">
      <formula>"MIA"</formula>
    </cfRule>
  </conditionalFormatting>
  <conditionalFormatting sqref="B23:P23 B24">
    <cfRule type="cellIs" dxfId="2838" priority="260" operator="equal">
      <formula>"PHI"</formula>
    </cfRule>
    <cfRule type="cellIs" dxfId="2837" priority="261" operator="equal">
      <formula>"GB"</formula>
    </cfRule>
    <cfRule type="cellIs" dxfId="2836" priority="262" operator="equal">
      <formula>"MIN"</formula>
    </cfRule>
    <cfRule type="cellIs" dxfId="2835" priority="263" operator="equal">
      <formula>"NYG"</formula>
    </cfRule>
    <cfRule type="cellIs" dxfId="2834" priority="264" operator="equal">
      <formula>"PIT"</formula>
    </cfRule>
    <cfRule type="cellIs" dxfId="2833" priority="265" operator="equal">
      <formula>"KC"</formula>
    </cfRule>
    <cfRule type="cellIs" dxfId="2832" priority="266" operator="equal">
      <formula>"ARI"</formula>
    </cfRule>
    <cfRule type="cellIs" dxfId="2831" priority="267" operator="equal">
      <formula>"LA"</formula>
    </cfRule>
    <cfRule type="cellIs" dxfId="2830" priority="268" operator="equal">
      <formula>"SD"</formula>
    </cfRule>
    <cfRule type="cellIs" dxfId="2829" priority="269" operator="equal">
      <formula>"NO"</formula>
    </cfRule>
    <cfRule type="cellIs" dxfId="2828" priority="270" operator="equal">
      <formula>"SF"</formula>
    </cfRule>
    <cfRule type="cellIs" dxfId="2827" priority="271" operator="equal">
      <formula>"DAL"</formula>
    </cfRule>
    <cfRule type="cellIs" dxfId="2826" priority="272" operator="equal">
      <formula>"TB"</formula>
    </cfRule>
    <cfRule type="cellIs" dxfId="2825" priority="273" operator="equal">
      <formula>"DEN"</formula>
    </cfRule>
    <cfRule type="cellIs" dxfId="2824" priority="274" operator="equal">
      <formula>"BAL"</formula>
    </cfRule>
    <cfRule type="cellIs" dxfId="2823" priority="275" operator="equal">
      <formula>"OAK"</formula>
    </cfRule>
    <cfRule type="cellIs" dxfId="2822" priority="276" operator="equal">
      <formula>"HOU"</formula>
    </cfRule>
    <cfRule type="cellIs" dxfId="2821" priority="277" operator="equal">
      <formula>"TEN"</formula>
    </cfRule>
    <cfRule type="cellIs" dxfId="2820" priority="278" operator="equal">
      <formula>"CHI"</formula>
    </cfRule>
    <cfRule type="cellIs" dxfId="2819" priority="279" operator="equal">
      <formula>"DET"</formula>
    </cfRule>
    <cfRule type="cellIs" dxfId="2818" priority="280" operator="equal">
      <formula>"ATL"</formula>
    </cfRule>
    <cfRule type="cellIs" dxfId="2817" priority="281" operator="equal">
      <formula>"CAR"</formula>
    </cfRule>
    <cfRule type="cellIs" dxfId="2816" priority="282" operator="equal">
      <formula>"IND"</formula>
    </cfRule>
    <cfRule type="cellIs" dxfId="2815" priority="283" operator="equal">
      <formula>"JAX"</formula>
    </cfRule>
    <cfRule type="cellIs" dxfId="2814" priority="284" operator="equal">
      <formula>"NYJ"</formula>
    </cfRule>
    <cfRule type="cellIs" dxfId="2813" priority="285" operator="equal">
      <formula>"SEA"</formula>
    </cfRule>
    <cfRule type="cellIs" dxfId="2812" priority="286" operator="equal">
      <formula>"NE"</formula>
    </cfRule>
    <cfRule type="cellIs" dxfId="2811" priority="287" operator="equal">
      <formula>"BUF"</formula>
    </cfRule>
    <cfRule type="cellIs" dxfId="2810" priority="288" operator="equal">
      <formula>"WAS"</formula>
    </cfRule>
    <cfRule type="cellIs" dxfId="2809" priority="289" operator="equal">
      <formula>"CLE"</formula>
    </cfRule>
    <cfRule type="cellIs" dxfId="2808" priority="290" operator="equal">
      <formula>"CIN"</formula>
    </cfRule>
    <cfRule type="cellIs" dxfId="2807" priority="291" operator="equal">
      <formula>"MIA"</formula>
    </cfRule>
  </conditionalFormatting>
  <conditionalFormatting sqref="B6:P19">
    <cfRule type="cellIs" dxfId="2806" priority="228" operator="equal">
      <formula>"PHI"</formula>
    </cfRule>
    <cfRule type="cellIs" dxfId="2805" priority="229" operator="equal">
      <formula>"GB"</formula>
    </cfRule>
    <cfRule type="cellIs" dxfId="2804" priority="230" operator="equal">
      <formula>"MIN"</formula>
    </cfRule>
    <cfRule type="cellIs" dxfId="2803" priority="231" operator="equal">
      <formula>"NYG"</formula>
    </cfRule>
    <cfRule type="cellIs" dxfId="2802" priority="232" operator="equal">
      <formula>"PIT"</formula>
    </cfRule>
    <cfRule type="cellIs" dxfId="2801" priority="233" operator="equal">
      <formula>"KC"</formula>
    </cfRule>
    <cfRule type="cellIs" dxfId="2800" priority="234" operator="equal">
      <formula>"ARI"</formula>
    </cfRule>
    <cfRule type="cellIs" dxfId="2799" priority="235" operator="equal">
      <formula>"LA"</formula>
    </cfRule>
    <cfRule type="cellIs" dxfId="2798" priority="236" operator="equal">
      <formula>"SD"</formula>
    </cfRule>
    <cfRule type="cellIs" dxfId="2797" priority="237" operator="equal">
      <formula>"NO"</formula>
    </cfRule>
    <cfRule type="cellIs" dxfId="2796" priority="238" operator="equal">
      <formula>"SF"</formula>
    </cfRule>
    <cfRule type="cellIs" dxfId="2795" priority="239" operator="equal">
      <formula>"DAL"</formula>
    </cfRule>
    <cfRule type="cellIs" dxfId="2794" priority="240" operator="equal">
      <formula>"TB"</formula>
    </cfRule>
    <cfRule type="cellIs" dxfId="2793" priority="241" operator="equal">
      <formula>"DEN"</formula>
    </cfRule>
    <cfRule type="cellIs" dxfId="2792" priority="242" operator="equal">
      <formula>"BAL"</formula>
    </cfRule>
    <cfRule type="cellIs" dxfId="2791" priority="243" operator="equal">
      <formula>"OAK"</formula>
    </cfRule>
    <cfRule type="cellIs" dxfId="2790" priority="244" operator="equal">
      <formula>"HOU"</formula>
    </cfRule>
    <cfRule type="cellIs" dxfId="2789" priority="245" operator="equal">
      <formula>"TEN"</formula>
    </cfRule>
    <cfRule type="cellIs" dxfId="2788" priority="246" operator="equal">
      <formula>"CHI"</formula>
    </cfRule>
    <cfRule type="cellIs" dxfId="2787" priority="247" operator="equal">
      <formula>"DET"</formula>
    </cfRule>
    <cfRule type="cellIs" dxfId="2786" priority="248" operator="equal">
      <formula>"ATL"</formula>
    </cfRule>
    <cfRule type="cellIs" dxfId="2785" priority="249" operator="equal">
      <formula>"CAR"</formula>
    </cfRule>
    <cfRule type="cellIs" dxfId="2784" priority="250" operator="equal">
      <formula>"IND"</formula>
    </cfRule>
    <cfRule type="cellIs" dxfId="2783" priority="251" operator="equal">
      <formula>"JAX"</formula>
    </cfRule>
    <cfRule type="cellIs" dxfId="2782" priority="252" operator="equal">
      <formula>"NYJ"</formula>
    </cfRule>
    <cfRule type="cellIs" dxfId="2781" priority="253" operator="equal">
      <formula>"SEA"</formula>
    </cfRule>
    <cfRule type="cellIs" dxfId="2780" priority="254" operator="equal">
      <formula>"NE"</formula>
    </cfRule>
    <cfRule type="cellIs" dxfId="2779" priority="255" operator="equal">
      <formula>"BUF"</formula>
    </cfRule>
    <cfRule type="cellIs" dxfId="2778" priority="256" operator="equal">
      <formula>"WAS"</formula>
    </cfRule>
    <cfRule type="cellIs" dxfId="2777" priority="257" operator="equal">
      <formula>"CLE"</formula>
    </cfRule>
    <cfRule type="cellIs" dxfId="2776" priority="258" operator="equal">
      <formula>"CIN"</formula>
    </cfRule>
    <cfRule type="cellIs" dxfId="2775" priority="259" operator="equal">
      <formula>"MIA"</formula>
    </cfRule>
  </conditionalFormatting>
  <conditionalFormatting sqref="B37:B38">
    <cfRule type="cellIs" dxfId="2774" priority="131" operator="equal">
      <formula>"PHI"</formula>
    </cfRule>
    <cfRule type="cellIs" dxfId="2773" priority="132" operator="equal">
      <formula>"GB"</formula>
    </cfRule>
    <cfRule type="cellIs" dxfId="2772" priority="133" operator="equal">
      <formula>"MIN"</formula>
    </cfRule>
    <cfRule type="cellIs" dxfId="2771" priority="134" operator="equal">
      <formula>"NYG"</formula>
    </cfRule>
    <cfRule type="cellIs" dxfId="2770" priority="135" operator="equal">
      <formula>"PIT"</formula>
    </cfRule>
    <cfRule type="cellIs" dxfId="2769" priority="136" operator="equal">
      <formula>"KC"</formula>
    </cfRule>
    <cfRule type="cellIs" dxfId="2768" priority="137" operator="equal">
      <formula>"ARI"</formula>
    </cfRule>
    <cfRule type="cellIs" dxfId="2767" priority="138" operator="equal">
      <formula>"LA"</formula>
    </cfRule>
    <cfRule type="cellIs" dxfId="2766" priority="139" operator="equal">
      <formula>"SD"</formula>
    </cfRule>
    <cfRule type="cellIs" dxfId="2765" priority="140" operator="equal">
      <formula>"NO"</formula>
    </cfRule>
    <cfRule type="cellIs" dxfId="2764" priority="141" operator="equal">
      <formula>"SF"</formula>
    </cfRule>
    <cfRule type="cellIs" dxfId="2763" priority="142" operator="equal">
      <formula>"DAL"</formula>
    </cfRule>
    <cfRule type="cellIs" dxfId="2762" priority="143" operator="equal">
      <formula>"TB"</formula>
    </cfRule>
    <cfRule type="cellIs" dxfId="2761" priority="144" operator="equal">
      <formula>"DEN"</formula>
    </cfRule>
    <cfRule type="cellIs" dxfId="2760" priority="145" operator="equal">
      <formula>"BAL"</formula>
    </cfRule>
    <cfRule type="cellIs" dxfId="2759" priority="146" operator="equal">
      <formula>"OAK"</formula>
    </cfRule>
    <cfRule type="cellIs" dxfId="2758" priority="147" operator="equal">
      <formula>"HOU"</formula>
    </cfRule>
    <cfRule type="cellIs" dxfId="2757" priority="148" operator="equal">
      <formula>"TEN"</formula>
    </cfRule>
    <cfRule type="cellIs" dxfId="2756" priority="149" operator="equal">
      <formula>"CHI"</formula>
    </cfRule>
    <cfRule type="cellIs" dxfId="2755" priority="150" operator="equal">
      <formula>"DET"</formula>
    </cfRule>
    <cfRule type="cellIs" dxfId="2754" priority="151" operator="equal">
      <formula>"ATL"</formula>
    </cfRule>
    <cfRule type="cellIs" dxfId="2753" priority="152" operator="equal">
      <formula>"CAR"</formula>
    </cfRule>
    <cfRule type="cellIs" dxfId="2752" priority="153" operator="equal">
      <formula>"IND"</formula>
    </cfRule>
    <cfRule type="cellIs" dxfId="2751" priority="154" operator="equal">
      <formula>"JAX"</formula>
    </cfRule>
    <cfRule type="cellIs" dxfId="2750" priority="155" operator="equal">
      <formula>"NYJ"</formula>
    </cfRule>
    <cfRule type="cellIs" dxfId="2749" priority="156" operator="equal">
      <formula>"SEA"</formula>
    </cfRule>
    <cfRule type="cellIs" dxfId="2748" priority="157" operator="equal">
      <formula>"NE"</formula>
    </cfRule>
    <cfRule type="cellIs" dxfId="2747" priority="158" operator="equal">
      <formula>"BUF"</formula>
    </cfRule>
    <cfRule type="cellIs" dxfId="2746" priority="159" operator="equal">
      <formula>"WAS"</formula>
    </cfRule>
    <cfRule type="cellIs" dxfId="2745" priority="160" operator="equal">
      <formula>"CLE"</formula>
    </cfRule>
    <cfRule type="cellIs" dxfId="2744" priority="161" operator="equal">
      <formula>"CIN"</formula>
    </cfRule>
    <cfRule type="cellIs" dxfId="2743" priority="162" operator="equal">
      <formula>"MIA"</formula>
    </cfRule>
  </conditionalFormatting>
  <conditionalFormatting sqref="B25:B36">
    <cfRule type="cellIs" dxfId="2742" priority="163" operator="equal">
      <formula>"PHI"</formula>
    </cfRule>
    <cfRule type="cellIs" dxfId="2741" priority="164" operator="equal">
      <formula>"GB"</formula>
    </cfRule>
    <cfRule type="cellIs" dxfId="2740" priority="165" operator="equal">
      <formula>"MIN"</formula>
    </cfRule>
    <cfRule type="cellIs" dxfId="2739" priority="166" operator="equal">
      <formula>"NYG"</formula>
    </cfRule>
    <cfRule type="cellIs" dxfId="2738" priority="167" operator="equal">
      <formula>"PIT"</formula>
    </cfRule>
    <cfRule type="cellIs" dxfId="2737" priority="168" operator="equal">
      <formula>"KC"</formula>
    </cfRule>
    <cfRule type="cellIs" dxfId="2736" priority="169" operator="equal">
      <formula>"ARI"</formula>
    </cfRule>
    <cfRule type="cellIs" dxfId="2735" priority="170" operator="equal">
      <formula>"LA"</formula>
    </cfRule>
    <cfRule type="cellIs" dxfId="2734" priority="171" operator="equal">
      <formula>"SD"</formula>
    </cfRule>
    <cfRule type="cellIs" dxfId="2733" priority="172" operator="equal">
      <formula>"NO"</formula>
    </cfRule>
    <cfRule type="cellIs" dxfId="2732" priority="173" operator="equal">
      <formula>"SF"</formula>
    </cfRule>
    <cfRule type="cellIs" dxfId="2731" priority="174" operator="equal">
      <formula>"DAL"</formula>
    </cfRule>
    <cfRule type="cellIs" dxfId="2730" priority="175" operator="equal">
      <formula>"TB"</formula>
    </cfRule>
    <cfRule type="cellIs" dxfId="2729" priority="176" operator="equal">
      <formula>"DEN"</formula>
    </cfRule>
    <cfRule type="cellIs" dxfId="2728" priority="177" operator="equal">
      <formula>"BAL"</formula>
    </cfRule>
    <cfRule type="cellIs" dxfId="2727" priority="178" operator="equal">
      <formula>"OAK"</formula>
    </cfRule>
    <cfRule type="cellIs" dxfId="2726" priority="179" operator="equal">
      <formula>"HOU"</formula>
    </cfRule>
    <cfRule type="cellIs" dxfId="2725" priority="180" operator="equal">
      <formula>"TEN"</formula>
    </cfRule>
    <cfRule type="cellIs" dxfId="2724" priority="181" operator="equal">
      <formula>"CHI"</formula>
    </cfRule>
    <cfRule type="cellIs" dxfId="2723" priority="182" operator="equal">
      <formula>"DET"</formula>
    </cfRule>
    <cfRule type="cellIs" dxfId="2722" priority="183" operator="equal">
      <formula>"ATL"</formula>
    </cfRule>
    <cfRule type="cellIs" dxfId="2721" priority="184" operator="equal">
      <formula>"CAR"</formula>
    </cfRule>
    <cfRule type="cellIs" dxfId="2720" priority="185" operator="equal">
      <formula>"IND"</formula>
    </cfRule>
    <cfRule type="cellIs" dxfId="2719" priority="186" operator="equal">
      <formula>"JAX"</formula>
    </cfRule>
    <cfRule type="cellIs" dxfId="2718" priority="187" operator="equal">
      <formula>"NYJ"</formula>
    </cfRule>
    <cfRule type="cellIs" dxfId="2717" priority="188" operator="equal">
      <formula>"SEA"</formula>
    </cfRule>
    <cfRule type="cellIs" dxfId="2716" priority="189" operator="equal">
      <formula>"NE"</formula>
    </cfRule>
    <cfRule type="cellIs" dxfId="2715" priority="190" operator="equal">
      <formula>"BUF"</formula>
    </cfRule>
    <cfRule type="cellIs" dxfId="2714" priority="191" operator="equal">
      <formula>"WAS"</formula>
    </cfRule>
    <cfRule type="cellIs" dxfId="2713" priority="192" operator="equal">
      <formula>"CLE"</formula>
    </cfRule>
    <cfRule type="cellIs" dxfId="2712" priority="193" operator="equal">
      <formula>"CIN"</formula>
    </cfRule>
    <cfRule type="cellIs" dxfId="2711" priority="194" operator="equal">
      <formula>"MIA"</formula>
    </cfRule>
  </conditionalFormatting>
  <conditionalFormatting sqref="C24:P24">
    <cfRule type="cellIs" dxfId="2710" priority="99" operator="equal">
      <formula>"PHI"</formula>
    </cfRule>
    <cfRule type="cellIs" dxfId="2709" priority="100" operator="equal">
      <formula>"GB"</formula>
    </cfRule>
    <cfRule type="cellIs" dxfId="2708" priority="101" operator="equal">
      <formula>"MIN"</formula>
    </cfRule>
    <cfRule type="cellIs" dxfId="2707" priority="102" operator="equal">
      <formula>"NYG"</formula>
    </cfRule>
    <cfRule type="cellIs" dxfId="2706" priority="103" operator="equal">
      <formula>"PIT"</formula>
    </cfRule>
    <cfRule type="cellIs" dxfId="2705" priority="104" operator="equal">
      <formula>"KC"</formula>
    </cfRule>
    <cfRule type="cellIs" dxfId="2704" priority="105" operator="equal">
      <formula>"ARI"</formula>
    </cfRule>
    <cfRule type="cellIs" dxfId="2703" priority="106" operator="equal">
      <formula>"LA"</formula>
    </cfRule>
    <cfRule type="cellIs" dxfId="2702" priority="107" operator="equal">
      <formula>"SD"</formula>
    </cfRule>
    <cfRule type="cellIs" dxfId="2701" priority="108" operator="equal">
      <formula>"NO"</formula>
    </cfRule>
    <cfRule type="cellIs" dxfId="2700" priority="109" operator="equal">
      <formula>"SF"</formula>
    </cfRule>
    <cfRule type="cellIs" dxfId="2699" priority="110" operator="equal">
      <formula>"DAL"</formula>
    </cfRule>
    <cfRule type="cellIs" dxfId="2698" priority="111" operator="equal">
      <formula>"TB"</formula>
    </cfRule>
    <cfRule type="cellIs" dxfId="2697" priority="112" operator="equal">
      <formula>"DEN"</formula>
    </cfRule>
    <cfRule type="cellIs" dxfId="2696" priority="113" operator="equal">
      <formula>"BAL"</formula>
    </cfRule>
    <cfRule type="cellIs" dxfId="2695" priority="114" operator="equal">
      <formula>"OAK"</formula>
    </cfRule>
    <cfRule type="cellIs" dxfId="2694" priority="115" operator="equal">
      <formula>"HOU"</formula>
    </cfRule>
    <cfRule type="cellIs" dxfId="2693" priority="116" operator="equal">
      <formula>"TEN"</formula>
    </cfRule>
    <cfRule type="cellIs" dxfId="2692" priority="117" operator="equal">
      <formula>"CHI"</formula>
    </cfRule>
    <cfRule type="cellIs" dxfId="2691" priority="118" operator="equal">
      <formula>"DET"</formula>
    </cfRule>
    <cfRule type="cellIs" dxfId="2690" priority="119" operator="equal">
      <formula>"ATL"</formula>
    </cfRule>
    <cfRule type="cellIs" dxfId="2689" priority="120" operator="equal">
      <formula>"CAR"</formula>
    </cfRule>
    <cfRule type="cellIs" dxfId="2688" priority="121" operator="equal">
      <formula>"IND"</formula>
    </cfRule>
    <cfRule type="cellIs" dxfId="2687" priority="122" operator="equal">
      <formula>"JAX"</formula>
    </cfRule>
    <cfRule type="cellIs" dxfId="2686" priority="123" operator="equal">
      <formula>"NYJ"</formula>
    </cfRule>
    <cfRule type="cellIs" dxfId="2685" priority="124" operator="equal">
      <formula>"SEA"</formula>
    </cfRule>
    <cfRule type="cellIs" dxfId="2684" priority="125" operator="equal">
      <formula>"NE"</formula>
    </cfRule>
    <cfRule type="cellIs" dxfId="2683" priority="126" operator="equal">
      <formula>"BUF"</formula>
    </cfRule>
    <cfRule type="cellIs" dxfId="2682" priority="127" operator="equal">
      <formula>"WAS"</formula>
    </cfRule>
    <cfRule type="cellIs" dxfId="2681" priority="128" operator="equal">
      <formula>"CLE"</formula>
    </cfRule>
    <cfRule type="cellIs" dxfId="2680" priority="129" operator="equal">
      <formula>"CIN"</formula>
    </cfRule>
    <cfRule type="cellIs" dxfId="2679" priority="130" operator="equal">
      <formula>"MIA"</formula>
    </cfRule>
  </conditionalFormatting>
  <conditionalFormatting sqref="P14">
    <cfRule type="cellIs" dxfId="2678" priority="98" operator="equal">
      <formula>"OAK"</formula>
    </cfRule>
  </conditionalFormatting>
  <conditionalFormatting sqref="S6:S19">
    <cfRule type="cellIs" dxfId="2677" priority="66" operator="equal">
      <formula>"PHI"</formula>
    </cfRule>
    <cfRule type="cellIs" dxfId="2676" priority="67" operator="equal">
      <formula>"GB"</formula>
    </cfRule>
    <cfRule type="cellIs" dxfId="2675" priority="68" operator="equal">
      <formula>"MIN"</formula>
    </cfRule>
    <cfRule type="cellIs" dxfId="2674" priority="69" operator="equal">
      <formula>"NYG"</formula>
    </cfRule>
    <cfRule type="cellIs" dxfId="2673" priority="70" operator="equal">
      <formula>"PIT"</formula>
    </cfRule>
    <cfRule type="cellIs" dxfId="2672" priority="71" operator="equal">
      <formula>"KC"</formula>
    </cfRule>
    <cfRule type="cellIs" dxfId="2671" priority="72" operator="equal">
      <formula>"ARI"</formula>
    </cfRule>
    <cfRule type="cellIs" dxfId="2670" priority="73" operator="equal">
      <formula>"LA"</formula>
    </cfRule>
    <cfRule type="cellIs" dxfId="2669" priority="74" operator="equal">
      <formula>"SD"</formula>
    </cfRule>
    <cfRule type="cellIs" dxfId="2668" priority="75" operator="equal">
      <formula>"NO"</formula>
    </cfRule>
    <cfRule type="cellIs" dxfId="2667" priority="76" operator="equal">
      <formula>"SF"</formula>
    </cfRule>
    <cfRule type="cellIs" dxfId="2666" priority="77" operator="equal">
      <formula>"DAL"</formula>
    </cfRule>
    <cfRule type="cellIs" dxfId="2665" priority="78" operator="equal">
      <formula>"TB"</formula>
    </cfRule>
    <cfRule type="cellIs" dxfId="2664" priority="79" operator="equal">
      <formula>"DEN"</formula>
    </cfRule>
    <cfRule type="cellIs" dxfId="2663" priority="80" operator="equal">
      <formula>"BAL"</formula>
    </cfRule>
    <cfRule type="cellIs" dxfId="2662" priority="81" operator="equal">
      <formula>"OAK"</formula>
    </cfRule>
    <cfRule type="cellIs" dxfId="2661" priority="82" operator="equal">
      <formula>"HOU"</formula>
    </cfRule>
    <cfRule type="cellIs" dxfId="2660" priority="83" operator="equal">
      <formula>"TEN"</formula>
    </cfRule>
    <cfRule type="cellIs" dxfId="2659" priority="84" operator="equal">
      <formula>"CHI"</formula>
    </cfRule>
    <cfRule type="cellIs" dxfId="2658" priority="85" operator="equal">
      <formula>"DET"</formula>
    </cfRule>
    <cfRule type="cellIs" dxfId="2657" priority="86" operator="equal">
      <formula>"ATL"</formula>
    </cfRule>
    <cfRule type="cellIs" dxfId="2656" priority="87" operator="equal">
      <formula>"CAR"</formula>
    </cfRule>
    <cfRule type="cellIs" dxfId="2655" priority="88" operator="equal">
      <formula>"IND"</formula>
    </cfRule>
    <cfRule type="cellIs" dxfId="2654" priority="89" operator="equal">
      <formula>"JAX"</formula>
    </cfRule>
    <cfRule type="cellIs" dxfId="2653" priority="90" operator="equal">
      <formula>"NYJ"</formula>
    </cfRule>
    <cfRule type="cellIs" dxfId="2652" priority="91" operator="equal">
      <formula>"SEA"</formula>
    </cfRule>
    <cfRule type="cellIs" dxfId="2651" priority="92" operator="equal">
      <formula>"NE"</formula>
    </cfRule>
    <cfRule type="cellIs" dxfId="2650" priority="93" operator="equal">
      <formula>"BUF"</formula>
    </cfRule>
    <cfRule type="cellIs" dxfId="2649" priority="94" operator="equal">
      <formula>"WAS"</formula>
    </cfRule>
    <cfRule type="cellIs" dxfId="2648" priority="95" operator="equal">
      <formula>"CLE"</formula>
    </cfRule>
    <cfRule type="cellIs" dxfId="2647" priority="96" operator="equal">
      <formula>"CIN"</formula>
    </cfRule>
    <cfRule type="cellIs" dxfId="2646" priority="97" operator="equal">
      <formula>"MIA"</formula>
    </cfRule>
  </conditionalFormatting>
  <conditionalFormatting sqref="C37:P38">
    <cfRule type="cellIs" dxfId="2645" priority="2" operator="equal">
      <formula>"PHI"</formula>
    </cfRule>
    <cfRule type="cellIs" dxfId="2644" priority="3" operator="equal">
      <formula>"GB"</formula>
    </cfRule>
    <cfRule type="cellIs" dxfId="2643" priority="4" operator="equal">
      <formula>"MIN"</formula>
    </cfRule>
    <cfRule type="cellIs" dxfId="2642" priority="5" operator="equal">
      <formula>"NYG"</formula>
    </cfRule>
    <cfRule type="cellIs" dxfId="2641" priority="6" operator="equal">
      <formula>"PIT"</formula>
    </cfRule>
    <cfRule type="cellIs" dxfId="2640" priority="7" operator="equal">
      <formula>"KC"</formula>
    </cfRule>
    <cfRule type="cellIs" dxfId="2639" priority="8" operator="equal">
      <formula>"ARI"</formula>
    </cfRule>
    <cfRule type="cellIs" dxfId="2638" priority="9" operator="equal">
      <formula>"LA"</formula>
    </cfRule>
    <cfRule type="cellIs" dxfId="2637" priority="10" operator="equal">
      <formula>"SD"</formula>
    </cfRule>
    <cfRule type="cellIs" dxfId="2636" priority="11" operator="equal">
      <formula>"NO"</formula>
    </cfRule>
    <cfRule type="cellIs" dxfId="2635" priority="12" operator="equal">
      <formula>"SF"</formula>
    </cfRule>
    <cfRule type="cellIs" dxfId="2634" priority="13" operator="equal">
      <formula>"DAL"</formula>
    </cfRule>
    <cfRule type="cellIs" dxfId="2633" priority="14" operator="equal">
      <formula>"TB"</formula>
    </cfRule>
    <cfRule type="cellIs" dxfId="2632" priority="15" operator="equal">
      <formula>"DEN"</formula>
    </cfRule>
    <cfRule type="cellIs" dxfId="2631" priority="16" operator="equal">
      <formula>"BAL"</formula>
    </cfRule>
    <cfRule type="cellIs" dxfId="2630" priority="17" operator="equal">
      <formula>"OAK"</formula>
    </cfRule>
    <cfRule type="cellIs" dxfId="2629" priority="18" operator="equal">
      <formula>"HOU"</formula>
    </cfRule>
    <cfRule type="cellIs" dxfId="2628" priority="19" operator="equal">
      <formula>"TEN"</formula>
    </cfRule>
    <cfRule type="cellIs" dxfId="2627" priority="20" operator="equal">
      <formula>"CHI"</formula>
    </cfRule>
    <cfRule type="cellIs" dxfId="2626" priority="21" operator="equal">
      <formula>"DET"</formula>
    </cfRule>
    <cfRule type="cellIs" dxfId="2625" priority="22" operator="equal">
      <formula>"ATL"</formula>
    </cfRule>
    <cfRule type="cellIs" dxfId="2624" priority="23" operator="equal">
      <formula>"CAR"</formula>
    </cfRule>
    <cfRule type="cellIs" dxfId="2623" priority="24" operator="equal">
      <formula>"IND"</formula>
    </cfRule>
    <cfRule type="cellIs" dxfId="2622" priority="25" operator="equal">
      <formula>"JAX"</formula>
    </cfRule>
    <cfRule type="cellIs" dxfId="2621" priority="26" operator="equal">
      <formula>"NYJ"</formula>
    </cfRule>
    <cfRule type="cellIs" dxfId="2620" priority="27" operator="equal">
      <formula>"SEA"</formula>
    </cfRule>
    <cfRule type="cellIs" dxfId="2619" priority="28" operator="equal">
      <formula>"NE"</formula>
    </cfRule>
    <cfRule type="cellIs" dxfId="2618" priority="29" operator="equal">
      <formula>"BUF"</formula>
    </cfRule>
    <cfRule type="cellIs" dxfId="2617" priority="30" operator="equal">
      <formula>"WAS"</formula>
    </cfRule>
    <cfRule type="cellIs" dxfId="2616" priority="31" operator="equal">
      <formula>"CLE"</formula>
    </cfRule>
    <cfRule type="cellIs" dxfId="2615" priority="32" operator="equal">
      <formula>"CIN"</formula>
    </cfRule>
    <cfRule type="cellIs" dxfId="2614" priority="33" operator="equal">
      <formula>"MIA"</formula>
    </cfRule>
  </conditionalFormatting>
  <conditionalFormatting sqref="C25:P38">
    <cfRule type="cellIs" dxfId="2613" priority="34" operator="equal">
      <formula>"PHI"</formula>
    </cfRule>
    <cfRule type="cellIs" dxfId="2612" priority="35" operator="equal">
      <formula>"GB"</formula>
    </cfRule>
    <cfRule type="cellIs" dxfId="2611" priority="36" operator="equal">
      <formula>"MIN"</formula>
    </cfRule>
    <cfRule type="cellIs" dxfId="2610" priority="37" operator="equal">
      <formula>"NYG"</formula>
    </cfRule>
    <cfRule type="cellIs" dxfId="2609" priority="38" operator="equal">
      <formula>"PIT"</formula>
    </cfRule>
    <cfRule type="cellIs" dxfId="2608" priority="39" operator="equal">
      <formula>"KC"</formula>
    </cfRule>
    <cfRule type="cellIs" dxfId="2607" priority="40" operator="equal">
      <formula>"ARI"</formula>
    </cfRule>
    <cfRule type="cellIs" dxfId="2606" priority="41" operator="equal">
      <formula>"LA"</formula>
    </cfRule>
    <cfRule type="cellIs" dxfId="2605" priority="42" operator="equal">
      <formula>"SD"</formula>
    </cfRule>
    <cfRule type="cellIs" dxfId="2604" priority="43" operator="equal">
      <formula>"NO"</formula>
    </cfRule>
    <cfRule type="cellIs" dxfId="2603" priority="44" operator="equal">
      <formula>"SF"</formula>
    </cfRule>
    <cfRule type="cellIs" dxfId="2602" priority="45" operator="equal">
      <formula>"DAL"</formula>
    </cfRule>
    <cfRule type="cellIs" dxfId="2601" priority="46" operator="equal">
      <formula>"TB"</formula>
    </cfRule>
    <cfRule type="cellIs" dxfId="2600" priority="47" operator="equal">
      <formula>"DEN"</formula>
    </cfRule>
    <cfRule type="cellIs" dxfId="2599" priority="48" operator="equal">
      <formula>"BAL"</formula>
    </cfRule>
    <cfRule type="cellIs" dxfId="2598" priority="49" operator="equal">
      <formula>"OAK"</formula>
    </cfRule>
    <cfRule type="cellIs" dxfId="2597" priority="50" operator="equal">
      <formula>"HOU"</formula>
    </cfRule>
    <cfRule type="cellIs" dxfId="2596" priority="51" operator="equal">
      <formula>"TEN"</formula>
    </cfRule>
    <cfRule type="cellIs" dxfId="2595" priority="52" operator="equal">
      <formula>"CHI"</formula>
    </cfRule>
    <cfRule type="cellIs" dxfId="2594" priority="53" operator="equal">
      <formula>"DET"</formula>
    </cfRule>
    <cfRule type="cellIs" dxfId="2593" priority="54" operator="equal">
      <formula>"ATL"</formula>
    </cfRule>
    <cfRule type="cellIs" dxfId="2592" priority="55" operator="equal">
      <formula>"CAR"</formula>
    </cfRule>
    <cfRule type="cellIs" dxfId="2591" priority="56" operator="equal">
      <formula>"IND"</formula>
    </cfRule>
    <cfRule type="cellIs" dxfId="2590" priority="57" operator="equal">
      <formula>"JAX"</formula>
    </cfRule>
    <cfRule type="cellIs" dxfId="2589" priority="58" operator="equal">
      <formula>"NYJ"</formula>
    </cfRule>
    <cfRule type="cellIs" dxfId="2588" priority="59" operator="equal">
      <formula>"SEA"</formula>
    </cfRule>
    <cfRule type="cellIs" dxfId="2587" priority="60" operator="equal">
      <formula>"NE"</formula>
    </cfRule>
    <cfRule type="cellIs" dxfId="2586" priority="61" operator="equal">
      <formula>"BUF"</formula>
    </cfRule>
    <cfRule type="cellIs" dxfId="2585" priority="62" operator="equal">
      <formula>"WAS"</formula>
    </cfRule>
    <cfRule type="cellIs" dxfId="2584" priority="63" operator="equal">
      <formula>"CLE"</formula>
    </cfRule>
    <cfRule type="cellIs" dxfId="2583" priority="64" operator="equal">
      <formula>"CIN"</formula>
    </cfRule>
    <cfRule type="cellIs" dxfId="2582" priority="65" operator="equal">
      <formula>"MIA"</formula>
    </cfRule>
  </conditionalFormatting>
  <conditionalFormatting sqref="C25:P38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39"/>
  <sheetViews>
    <sheetView zoomScaleNormal="100" workbookViewId="0"/>
  </sheetViews>
  <sheetFormatPr defaultRowHeight="14.5" x14ac:dyDescent="0.35"/>
  <cols>
    <col min="1" max="1" width="5" style="41" customWidth="1"/>
    <col min="2" max="2" width="10.90625" style="41" bestFit="1" customWidth="1"/>
    <col min="3" max="3" width="9.453125" style="41" bestFit="1" customWidth="1"/>
    <col min="4" max="4" width="9.81640625" style="41" bestFit="1" customWidth="1"/>
    <col min="5" max="5" width="8.36328125" style="41" bestFit="1" customWidth="1"/>
    <col min="6" max="6" width="8.453125" style="41" bestFit="1" customWidth="1"/>
    <col min="7" max="7" width="8.6328125" style="41" bestFit="1" customWidth="1"/>
    <col min="8" max="8" width="8.81640625" style="41" bestFit="1" customWidth="1"/>
    <col min="9" max="9" width="7.26953125" style="41" bestFit="1" customWidth="1"/>
    <col min="10" max="10" width="9.08984375" style="41" bestFit="1" customWidth="1"/>
    <col min="11" max="11" width="8.7265625" style="41" bestFit="1" customWidth="1"/>
    <col min="12" max="12" width="7.90625" style="41" bestFit="1" customWidth="1"/>
    <col min="13" max="13" width="8.81640625" style="41" bestFit="1" customWidth="1"/>
    <col min="14" max="14" width="7.81640625" style="41" bestFit="1" customWidth="1"/>
    <col min="15" max="15" width="9.6328125" style="41" bestFit="1" customWidth="1"/>
    <col min="16" max="16" width="7.81640625" style="41" bestFit="1" customWidth="1"/>
    <col min="17" max="17" width="8.36328125" style="41" bestFit="1" customWidth="1"/>
    <col min="18" max="18" width="7.90625" style="41" bestFit="1" customWidth="1"/>
    <col min="19" max="19" width="8.7265625" style="41"/>
    <col min="20" max="20" width="6.26953125" style="41" customWidth="1"/>
    <col min="21" max="16384" width="8.7265625" style="41"/>
  </cols>
  <sheetData>
    <row r="1" spans="1:19" x14ac:dyDescent="0.35">
      <c r="A1" s="41" t="s">
        <v>371</v>
      </c>
    </row>
    <row r="2" spans="1:19" ht="15" thickBot="1" x14ac:dyDescent="0.4"/>
    <row r="3" spans="1:19" ht="15.5" thickTop="1" thickBot="1" x14ac:dyDescent="0.4">
      <c r="B3" s="187"/>
      <c r="C3" s="408" t="s">
        <v>368</v>
      </c>
      <c r="D3" s="409"/>
      <c r="E3" s="410"/>
    </row>
    <row r="4" spans="1:19" ht="15.5" customHeight="1" thickTop="1" thickBot="1" x14ac:dyDescent="0.4">
      <c r="B4" s="11" t="s">
        <v>0</v>
      </c>
      <c r="C4" s="82" t="s">
        <v>276</v>
      </c>
      <c r="D4" s="82" t="s">
        <v>277</v>
      </c>
      <c r="E4" s="82" t="s">
        <v>278</v>
      </c>
      <c r="F4" s="82" t="s">
        <v>279</v>
      </c>
      <c r="G4" s="82" t="s">
        <v>280</v>
      </c>
      <c r="H4" s="82" t="s">
        <v>281</v>
      </c>
      <c r="I4" s="82" t="s">
        <v>282</v>
      </c>
      <c r="J4" s="82" t="s">
        <v>283</v>
      </c>
      <c r="K4" s="82" t="s">
        <v>284</v>
      </c>
      <c r="L4" s="82" t="s">
        <v>285</v>
      </c>
      <c r="M4" s="82" t="s">
        <v>286</v>
      </c>
      <c r="N4" s="82" t="s">
        <v>287</v>
      </c>
      <c r="O4" s="82" t="s">
        <v>288</v>
      </c>
      <c r="P4" s="224" t="s">
        <v>290</v>
      </c>
      <c r="Q4" s="224" t="s">
        <v>289</v>
      </c>
      <c r="R4" s="82" t="s">
        <v>291</v>
      </c>
      <c r="S4" s="406" t="s">
        <v>92</v>
      </c>
    </row>
    <row r="5" spans="1:19" ht="15.5" thickTop="1" thickBot="1" x14ac:dyDescent="0.4">
      <c r="B5" s="26" t="s">
        <v>1</v>
      </c>
      <c r="C5" s="219" t="s">
        <v>111</v>
      </c>
      <c r="D5" s="219" t="s">
        <v>142</v>
      </c>
      <c r="E5" s="219" t="s">
        <v>377</v>
      </c>
      <c r="F5" s="219" t="s">
        <v>141</v>
      </c>
      <c r="G5" s="219" t="s">
        <v>141</v>
      </c>
      <c r="H5" s="219" t="s">
        <v>142</v>
      </c>
      <c r="I5" s="219" t="s">
        <v>142</v>
      </c>
      <c r="J5" s="219" t="s">
        <v>405</v>
      </c>
      <c r="K5" s="328" t="s">
        <v>140</v>
      </c>
      <c r="L5" s="219" t="s">
        <v>116</v>
      </c>
      <c r="M5" s="219" t="s">
        <v>115</v>
      </c>
      <c r="N5" s="219" t="s">
        <v>144</v>
      </c>
      <c r="O5" s="219" t="s">
        <v>114</v>
      </c>
      <c r="P5" s="219" t="s">
        <v>406</v>
      </c>
      <c r="Q5" s="219" t="s">
        <v>23</v>
      </c>
      <c r="R5" s="219" t="s">
        <v>111</v>
      </c>
      <c r="S5" s="407"/>
    </row>
    <row r="6" spans="1:19" ht="15" thickTop="1" x14ac:dyDescent="0.35">
      <c r="B6" s="277" t="s">
        <v>3</v>
      </c>
      <c r="C6" s="318" t="s">
        <v>117</v>
      </c>
      <c r="D6" s="319" t="s">
        <v>90</v>
      </c>
      <c r="E6" s="319" t="s">
        <v>76</v>
      </c>
      <c r="F6" s="319" t="s">
        <v>58</v>
      </c>
      <c r="G6" s="319" t="s">
        <v>91</v>
      </c>
      <c r="H6" s="319" t="s">
        <v>65</v>
      </c>
      <c r="I6" s="319" t="s">
        <v>61</v>
      </c>
      <c r="J6" s="319" t="s">
        <v>68</v>
      </c>
      <c r="K6" s="319" t="s">
        <v>119</v>
      </c>
      <c r="L6" s="319" t="s">
        <v>121</v>
      </c>
      <c r="M6" s="319" t="s">
        <v>120</v>
      </c>
      <c r="N6" s="319" t="s">
        <v>67</v>
      </c>
      <c r="O6" s="319" t="s">
        <v>74</v>
      </c>
      <c r="P6" s="319" t="s">
        <v>89</v>
      </c>
      <c r="Q6" s="319" t="s">
        <v>34</v>
      </c>
      <c r="R6" s="329" t="s">
        <v>64</v>
      </c>
      <c r="S6" s="293">
        <f>SUM(C25:R25)</f>
        <v>14</v>
      </c>
    </row>
    <row r="7" spans="1:19" x14ac:dyDescent="0.35">
      <c r="B7" s="277" t="s">
        <v>29</v>
      </c>
      <c r="C7" s="321" t="s">
        <v>117</v>
      </c>
      <c r="D7" s="298" t="s">
        <v>90</v>
      </c>
      <c r="E7" s="298" t="s">
        <v>76</v>
      </c>
      <c r="F7" s="298" t="s">
        <v>58</v>
      </c>
      <c r="G7" s="298" t="s">
        <v>91</v>
      </c>
      <c r="H7" s="298" t="s">
        <v>65</v>
      </c>
      <c r="I7" s="298" t="s">
        <v>61</v>
      </c>
      <c r="J7" s="298" t="s">
        <v>68</v>
      </c>
      <c r="K7" s="298" t="s">
        <v>66</v>
      </c>
      <c r="L7" s="298" t="s">
        <v>72</v>
      </c>
      <c r="M7" s="298" t="s">
        <v>120</v>
      </c>
      <c r="N7" s="298" t="s">
        <v>67</v>
      </c>
      <c r="O7" s="298" t="s">
        <v>74</v>
      </c>
      <c r="P7" s="298" t="s">
        <v>89</v>
      </c>
      <c r="Q7" s="298" t="s">
        <v>34</v>
      </c>
      <c r="R7" s="330" t="s">
        <v>75</v>
      </c>
      <c r="S7" s="294">
        <f t="shared" ref="S7:S19" si="0">SUM(C26:R26)</f>
        <v>11</v>
      </c>
    </row>
    <row r="8" spans="1:19" x14ac:dyDescent="0.35">
      <c r="B8" s="277" t="s">
        <v>30</v>
      </c>
      <c r="C8" s="321" t="s">
        <v>87</v>
      </c>
      <c r="D8" s="298" t="s">
        <v>90</v>
      </c>
      <c r="E8" s="298" t="s">
        <v>76</v>
      </c>
      <c r="F8" s="298" t="s">
        <v>118</v>
      </c>
      <c r="G8" s="298" t="s">
        <v>91</v>
      </c>
      <c r="H8" s="298" t="s">
        <v>65</v>
      </c>
      <c r="I8" s="298" t="s">
        <v>61</v>
      </c>
      <c r="J8" s="298" t="s">
        <v>68</v>
      </c>
      <c r="K8" s="298" t="s">
        <v>66</v>
      </c>
      <c r="L8" s="298" t="s">
        <v>121</v>
      </c>
      <c r="M8" s="298" t="s">
        <v>120</v>
      </c>
      <c r="N8" s="298" t="s">
        <v>67</v>
      </c>
      <c r="O8" s="298" t="s">
        <v>74</v>
      </c>
      <c r="P8" s="298" t="s">
        <v>89</v>
      </c>
      <c r="Q8" s="298" t="s">
        <v>34</v>
      </c>
      <c r="R8" s="330" t="s">
        <v>64</v>
      </c>
      <c r="S8" s="293">
        <f t="shared" si="0"/>
        <v>11</v>
      </c>
    </row>
    <row r="9" spans="1:19" x14ac:dyDescent="0.35">
      <c r="B9" s="277" t="s">
        <v>31</v>
      </c>
      <c r="C9" s="323" t="s">
        <v>87</v>
      </c>
      <c r="D9" s="317" t="s">
        <v>90</v>
      </c>
      <c r="E9" s="317" t="s">
        <v>76</v>
      </c>
      <c r="F9" s="317" t="s">
        <v>58</v>
      </c>
      <c r="G9" s="317" t="s">
        <v>91</v>
      </c>
      <c r="H9" s="317" t="s">
        <v>65</v>
      </c>
      <c r="I9" s="317" t="s">
        <v>61</v>
      </c>
      <c r="J9" s="317" t="s">
        <v>68</v>
      </c>
      <c r="K9" s="317" t="s">
        <v>66</v>
      </c>
      <c r="L9" s="317" t="s">
        <v>121</v>
      </c>
      <c r="M9" s="317" t="s">
        <v>88</v>
      </c>
      <c r="N9" s="317" t="s">
        <v>67</v>
      </c>
      <c r="O9" s="317" t="s">
        <v>33</v>
      </c>
      <c r="P9" s="317" t="s">
        <v>89</v>
      </c>
      <c r="Q9" s="317" t="s">
        <v>34</v>
      </c>
      <c r="R9" s="324" t="s">
        <v>64</v>
      </c>
      <c r="S9" s="294">
        <f t="shared" si="0"/>
        <v>10</v>
      </c>
    </row>
    <row r="10" spans="1:19" x14ac:dyDescent="0.35">
      <c r="B10" s="277" t="s">
        <v>32</v>
      </c>
      <c r="C10" s="321" t="s">
        <v>117</v>
      </c>
      <c r="D10" s="298" t="s">
        <v>90</v>
      </c>
      <c r="E10" s="298" t="s">
        <v>76</v>
      </c>
      <c r="F10" s="298" t="s">
        <v>58</v>
      </c>
      <c r="G10" s="298" t="s">
        <v>91</v>
      </c>
      <c r="H10" s="298" t="s">
        <v>65</v>
      </c>
      <c r="I10" s="298" t="s">
        <v>61</v>
      </c>
      <c r="J10" s="298" t="s">
        <v>68</v>
      </c>
      <c r="K10" s="298" t="s">
        <v>66</v>
      </c>
      <c r="L10" s="298" t="s">
        <v>121</v>
      </c>
      <c r="M10" s="298" t="s">
        <v>120</v>
      </c>
      <c r="N10" s="298" t="s">
        <v>67</v>
      </c>
      <c r="O10" s="298" t="s">
        <v>74</v>
      </c>
      <c r="P10" s="298" t="s">
        <v>89</v>
      </c>
      <c r="Q10" s="298" t="s">
        <v>60</v>
      </c>
      <c r="R10" s="330" t="s">
        <v>75</v>
      </c>
      <c r="S10" s="293">
        <f t="shared" si="0"/>
        <v>13</v>
      </c>
    </row>
    <row r="11" spans="1:19" x14ac:dyDescent="0.35">
      <c r="B11" s="277" t="s">
        <v>35</v>
      </c>
      <c r="C11" s="321" t="s">
        <v>87</v>
      </c>
      <c r="D11" s="298" t="s">
        <v>90</v>
      </c>
      <c r="E11" s="298" t="s">
        <v>76</v>
      </c>
      <c r="F11" s="298" t="s">
        <v>58</v>
      </c>
      <c r="G11" s="298" t="s">
        <v>91</v>
      </c>
      <c r="H11" s="298" t="s">
        <v>65</v>
      </c>
      <c r="I11" s="298" t="s">
        <v>77</v>
      </c>
      <c r="J11" s="298" t="s">
        <v>68</v>
      </c>
      <c r="K11" s="298" t="s">
        <v>119</v>
      </c>
      <c r="L11" s="298" t="s">
        <v>121</v>
      </c>
      <c r="M11" s="298" t="s">
        <v>120</v>
      </c>
      <c r="N11" s="298" t="s">
        <v>67</v>
      </c>
      <c r="O11" s="298" t="s">
        <v>74</v>
      </c>
      <c r="P11" s="298" t="s">
        <v>89</v>
      </c>
      <c r="Q11" s="298" t="s">
        <v>60</v>
      </c>
      <c r="R11" s="330" t="s">
        <v>64</v>
      </c>
      <c r="S11" s="294">
        <f t="shared" si="0"/>
        <v>13</v>
      </c>
    </row>
    <row r="12" spans="1:19" x14ac:dyDescent="0.35">
      <c r="B12" s="1" t="s">
        <v>36</v>
      </c>
      <c r="C12" s="321" t="s">
        <v>87</v>
      </c>
      <c r="D12" s="298" t="s">
        <v>90</v>
      </c>
      <c r="E12" s="298" t="s">
        <v>76</v>
      </c>
      <c r="F12" s="298" t="s">
        <v>58</v>
      </c>
      <c r="G12" s="298" t="s">
        <v>91</v>
      </c>
      <c r="H12" s="298" t="s">
        <v>65</v>
      </c>
      <c r="I12" s="298" t="s">
        <v>61</v>
      </c>
      <c r="J12" s="298" t="s">
        <v>68</v>
      </c>
      <c r="K12" s="298" t="s">
        <v>119</v>
      </c>
      <c r="L12" s="298" t="s">
        <v>121</v>
      </c>
      <c r="M12" s="298" t="s">
        <v>120</v>
      </c>
      <c r="N12" s="298" t="s">
        <v>67</v>
      </c>
      <c r="O12" s="298" t="s">
        <v>74</v>
      </c>
      <c r="P12" s="298" t="s">
        <v>89</v>
      </c>
      <c r="Q12" s="298" t="s">
        <v>60</v>
      </c>
      <c r="R12" s="330" t="s">
        <v>64</v>
      </c>
      <c r="S12" s="293">
        <f t="shared" si="0"/>
        <v>14</v>
      </c>
    </row>
    <row r="13" spans="1:19" x14ac:dyDescent="0.35">
      <c r="B13" s="1" t="s">
        <v>37</v>
      </c>
      <c r="C13" s="321" t="s">
        <v>87</v>
      </c>
      <c r="D13" s="298" t="s">
        <v>90</v>
      </c>
      <c r="E13" s="298" t="s">
        <v>76</v>
      </c>
      <c r="F13" s="298" t="s">
        <v>58</v>
      </c>
      <c r="G13" s="298" t="s">
        <v>91</v>
      </c>
      <c r="H13" s="298" t="s">
        <v>65</v>
      </c>
      <c r="I13" s="298" t="s">
        <v>61</v>
      </c>
      <c r="J13" s="298" t="s">
        <v>68</v>
      </c>
      <c r="K13" s="298" t="s">
        <v>119</v>
      </c>
      <c r="L13" s="298" t="s">
        <v>121</v>
      </c>
      <c r="M13" s="298" t="s">
        <v>120</v>
      </c>
      <c r="N13" s="298" t="s">
        <v>67</v>
      </c>
      <c r="O13" s="298" t="s">
        <v>74</v>
      </c>
      <c r="P13" s="298" t="s">
        <v>89</v>
      </c>
      <c r="Q13" s="298" t="s">
        <v>34</v>
      </c>
      <c r="R13" s="330" t="s">
        <v>64</v>
      </c>
      <c r="S13" s="294">
        <f t="shared" si="0"/>
        <v>13</v>
      </c>
    </row>
    <row r="14" spans="1:19" x14ac:dyDescent="0.35">
      <c r="B14" s="1" t="s">
        <v>57</v>
      </c>
      <c r="C14" s="321" t="s">
        <v>87</v>
      </c>
      <c r="D14" s="298" t="s">
        <v>90</v>
      </c>
      <c r="E14" s="298" t="s">
        <v>69</v>
      </c>
      <c r="F14" s="298" t="s">
        <v>58</v>
      </c>
      <c r="G14" s="298" t="s">
        <v>91</v>
      </c>
      <c r="H14" s="298" t="s">
        <v>65</v>
      </c>
      <c r="I14" s="298" t="s">
        <v>61</v>
      </c>
      <c r="J14" s="298" t="s">
        <v>68</v>
      </c>
      <c r="K14" s="298" t="s">
        <v>66</v>
      </c>
      <c r="L14" s="298" t="s">
        <v>121</v>
      </c>
      <c r="M14" s="298" t="s">
        <v>120</v>
      </c>
      <c r="N14" s="298" t="s">
        <v>73</v>
      </c>
      <c r="O14" s="298" t="s">
        <v>74</v>
      </c>
      <c r="P14" s="298" t="s">
        <v>89</v>
      </c>
      <c r="Q14" s="298" t="s">
        <v>60</v>
      </c>
      <c r="R14" s="330" t="s">
        <v>75</v>
      </c>
      <c r="S14" s="293">
        <f t="shared" si="0"/>
        <v>12</v>
      </c>
    </row>
    <row r="15" spans="1:19" s="185" customFormat="1" x14ac:dyDescent="0.35">
      <c r="B15" s="1" t="s">
        <v>379</v>
      </c>
      <c r="C15" s="321" t="s">
        <v>117</v>
      </c>
      <c r="D15" s="298" t="s">
        <v>90</v>
      </c>
      <c r="E15" s="298" t="s">
        <v>76</v>
      </c>
      <c r="F15" s="298" t="s">
        <v>118</v>
      </c>
      <c r="G15" s="298" t="s">
        <v>62</v>
      </c>
      <c r="H15" s="298" t="s">
        <v>65</v>
      </c>
      <c r="I15" s="298" t="s">
        <v>61</v>
      </c>
      <c r="J15" s="298" t="s">
        <v>68</v>
      </c>
      <c r="K15" s="298" t="s">
        <v>66</v>
      </c>
      <c r="L15" s="298" t="s">
        <v>121</v>
      </c>
      <c r="M15" s="298" t="s">
        <v>120</v>
      </c>
      <c r="N15" s="298" t="s">
        <v>67</v>
      </c>
      <c r="O15" s="298" t="s">
        <v>74</v>
      </c>
      <c r="P15" s="298" t="s">
        <v>89</v>
      </c>
      <c r="Q15" s="298" t="s">
        <v>60</v>
      </c>
      <c r="R15" s="330" t="s">
        <v>75</v>
      </c>
      <c r="S15" s="294">
        <f t="shared" si="0"/>
        <v>11</v>
      </c>
    </row>
    <row r="16" spans="1:19" s="185" customFormat="1" x14ac:dyDescent="0.35">
      <c r="B16" s="1" t="s">
        <v>380</v>
      </c>
      <c r="C16" s="321" t="s">
        <v>117</v>
      </c>
      <c r="D16" s="298" t="s">
        <v>90</v>
      </c>
      <c r="E16" s="298" t="s">
        <v>76</v>
      </c>
      <c r="F16" s="298" t="s">
        <v>58</v>
      </c>
      <c r="G16" s="298" t="s">
        <v>91</v>
      </c>
      <c r="H16" s="298" t="s">
        <v>65</v>
      </c>
      <c r="I16" s="298" t="s">
        <v>61</v>
      </c>
      <c r="J16" s="298" t="s">
        <v>68</v>
      </c>
      <c r="K16" s="298" t="s">
        <v>119</v>
      </c>
      <c r="L16" s="298" t="s">
        <v>121</v>
      </c>
      <c r="M16" s="298" t="s">
        <v>120</v>
      </c>
      <c r="N16" s="298" t="s">
        <v>67</v>
      </c>
      <c r="O16" s="298" t="s">
        <v>74</v>
      </c>
      <c r="P16" s="298" t="s">
        <v>89</v>
      </c>
      <c r="Q16" s="298" t="s">
        <v>60</v>
      </c>
      <c r="R16" s="330" t="s">
        <v>75</v>
      </c>
      <c r="S16" s="293">
        <f t="shared" si="0"/>
        <v>14</v>
      </c>
    </row>
    <row r="17" spans="2:20" s="185" customFormat="1" x14ac:dyDescent="0.35">
      <c r="B17" s="1" t="s">
        <v>381</v>
      </c>
      <c r="C17" s="321" t="s">
        <v>388</v>
      </c>
      <c r="D17" s="298" t="s">
        <v>84</v>
      </c>
      <c r="E17" s="298" t="s">
        <v>76</v>
      </c>
      <c r="F17" s="298" t="s">
        <v>58</v>
      </c>
      <c r="G17" s="298" t="s">
        <v>91</v>
      </c>
      <c r="H17" s="298" t="s">
        <v>65</v>
      </c>
      <c r="I17" s="298" t="s">
        <v>61</v>
      </c>
      <c r="J17" s="298" t="s">
        <v>68</v>
      </c>
      <c r="K17" s="298" t="s">
        <v>66</v>
      </c>
      <c r="L17" s="298" t="s">
        <v>121</v>
      </c>
      <c r="M17" s="298" t="s">
        <v>120</v>
      </c>
      <c r="N17" s="298" t="s">
        <v>67</v>
      </c>
      <c r="O17" s="298" t="s">
        <v>74</v>
      </c>
      <c r="P17" s="298" t="s">
        <v>89</v>
      </c>
      <c r="Q17" s="298" t="s">
        <v>34</v>
      </c>
      <c r="R17" s="330" t="s">
        <v>75</v>
      </c>
      <c r="S17" s="294">
        <f t="shared" si="0"/>
        <v>11</v>
      </c>
    </row>
    <row r="18" spans="2:20" s="185" customFormat="1" x14ac:dyDescent="0.35">
      <c r="B18" s="1" t="s">
        <v>387</v>
      </c>
      <c r="C18" s="321" t="s">
        <v>407</v>
      </c>
      <c r="D18" s="298" t="s">
        <v>84</v>
      </c>
      <c r="E18" s="298" t="s">
        <v>408</v>
      </c>
      <c r="F18" s="298" t="s">
        <v>409</v>
      </c>
      <c r="G18" s="298" t="s">
        <v>410</v>
      </c>
      <c r="H18" s="298" t="s">
        <v>202</v>
      </c>
      <c r="I18" s="298" t="s">
        <v>205</v>
      </c>
      <c r="J18" s="298" t="s">
        <v>204</v>
      </c>
      <c r="K18" s="298" t="s">
        <v>411</v>
      </c>
      <c r="L18" s="298" t="s">
        <v>412</v>
      </c>
      <c r="M18" s="298" t="s">
        <v>203</v>
      </c>
      <c r="N18" s="298" t="s">
        <v>413</v>
      </c>
      <c r="O18" s="298" t="s">
        <v>414</v>
      </c>
      <c r="P18" s="298" t="s">
        <v>415</v>
      </c>
      <c r="Q18" s="298" t="s">
        <v>201</v>
      </c>
      <c r="R18" s="330" t="s">
        <v>416</v>
      </c>
      <c r="S18" s="293">
        <f t="shared" si="0"/>
        <v>13</v>
      </c>
    </row>
    <row r="19" spans="2:20" s="185" customFormat="1" ht="15" thickBot="1" x14ac:dyDescent="0.4">
      <c r="B19" s="5" t="s">
        <v>389</v>
      </c>
      <c r="C19" s="325" t="s">
        <v>117</v>
      </c>
      <c r="D19" s="326" t="s">
        <v>90</v>
      </c>
      <c r="E19" s="326" t="s">
        <v>76</v>
      </c>
      <c r="F19" s="326" t="s">
        <v>58</v>
      </c>
      <c r="G19" s="326" t="s">
        <v>91</v>
      </c>
      <c r="H19" s="326" t="s">
        <v>65</v>
      </c>
      <c r="I19" s="326" t="s">
        <v>61</v>
      </c>
      <c r="J19" s="326" t="s">
        <v>68</v>
      </c>
      <c r="K19" s="326" t="s">
        <v>119</v>
      </c>
      <c r="L19" s="326" t="s">
        <v>121</v>
      </c>
      <c r="M19" s="326" t="s">
        <v>120</v>
      </c>
      <c r="N19" s="326" t="s">
        <v>67</v>
      </c>
      <c r="O19" s="326" t="s">
        <v>74</v>
      </c>
      <c r="P19" s="326" t="s">
        <v>89</v>
      </c>
      <c r="Q19" s="326" t="s">
        <v>34</v>
      </c>
      <c r="R19" s="331" t="s">
        <v>64</v>
      </c>
      <c r="S19" s="295">
        <f t="shared" si="0"/>
        <v>14</v>
      </c>
      <c r="T19" s="271">
        <v>5</v>
      </c>
    </row>
    <row r="20" spans="2:20" ht="15.5" thickTop="1" thickBot="1" x14ac:dyDescent="0.4">
      <c r="B20" s="78" t="s">
        <v>183</v>
      </c>
      <c r="C20" s="181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7"/>
    </row>
    <row r="21" spans="2:20" ht="15" thickTop="1" x14ac:dyDescent="0.35">
      <c r="B21" s="2"/>
      <c r="C21" s="81"/>
      <c r="D21" s="81"/>
      <c r="E21" s="81"/>
      <c r="F21" s="81"/>
      <c r="G21" s="81"/>
      <c r="H21" s="81"/>
      <c r="I21" s="81"/>
      <c r="J21" s="81"/>
      <c r="K21" s="83"/>
      <c r="L21" s="83"/>
      <c r="M21" s="83"/>
      <c r="N21" s="83"/>
      <c r="O21" s="83"/>
      <c r="P21" s="83"/>
      <c r="Q21" s="1"/>
      <c r="R21" s="1"/>
    </row>
    <row r="22" spans="2:20" ht="15" thickBot="1" x14ac:dyDescent="0.4"/>
    <row r="23" spans="2:20" ht="15.5" thickTop="1" thickBot="1" x14ac:dyDescent="0.4">
      <c r="B23" s="54" t="s">
        <v>0</v>
      </c>
      <c r="C23" s="90" t="s">
        <v>276</v>
      </c>
      <c r="D23" s="90" t="s">
        <v>277</v>
      </c>
      <c r="E23" s="90" t="s">
        <v>278</v>
      </c>
      <c r="F23" s="90" t="s">
        <v>279</v>
      </c>
      <c r="G23" s="90" t="s">
        <v>280</v>
      </c>
      <c r="H23" s="90" t="s">
        <v>281</v>
      </c>
      <c r="I23" s="90" t="s">
        <v>282</v>
      </c>
      <c r="J23" s="90" t="s">
        <v>283</v>
      </c>
      <c r="K23" s="90" t="s">
        <v>284</v>
      </c>
      <c r="L23" s="90" t="s">
        <v>285</v>
      </c>
      <c r="M23" s="90" t="s">
        <v>286</v>
      </c>
      <c r="N23" s="90" t="s">
        <v>287</v>
      </c>
      <c r="O23" s="90" t="s">
        <v>288</v>
      </c>
      <c r="P23" s="90" t="s">
        <v>290</v>
      </c>
      <c r="Q23" s="90" t="s">
        <v>289</v>
      </c>
      <c r="R23" s="91" t="s">
        <v>291</v>
      </c>
    </row>
    <row r="24" spans="2:20" ht="15.5" thickTop="1" thickBot="1" x14ac:dyDescent="0.4">
      <c r="B24" s="49" t="s">
        <v>1</v>
      </c>
      <c r="C24" s="258" t="s">
        <v>111</v>
      </c>
      <c r="D24" s="256" t="s">
        <v>142</v>
      </c>
      <c r="E24" s="256" t="s">
        <v>377</v>
      </c>
      <c r="F24" s="256" t="s">
        <v>141</v>
      </c>
      <c r="G24" s="256" t="s">
        <v>141</v>
      </c>
      <c r="H24" s="256" t="s">
        <v>142</v>
      </c>
      <c r="I24" s="256" t="s">
        <v>142</v>
      </c>
      <c r="J24" s="256" t="s">
        <v>405</v>
      </c>
      <c r="K24" s="253" t="s">
        <v>140</v>
      </c>
      <c r="L24" s="256" t="s">
        <v>116</v>
      </c>
      <c r="M24" s="256" t="s">
        <v>115</v>
      </c>
      <c r="N24" s="256" t="s">
        <v>144</v>
      </c>
      <c r="O24" s="256" t="s">
        <v>114</v>
      </c>
      <c r="P24" s="256" t="s">
        <v>406</v>
      </c>
      <c r="Q24" s="256" t="s">
        <v>23</v>
      </c>
      <c r="R24" s="257" t="s">
        <v>111</v>
      </c>
    </row>
    <row r="25" spans="2:20" ht="15" thickTop="1" x14ac:dyDescent="0.35">
      <c r="B25" s="259" t="s">
        <v>3</v>
      </c>
      <c r="C25" s="261">
        <f>IF(C6="det",1,"-")</f>
        <v>1</v>
      </c>
      <c r="D25" s="262">
        <f>IF(D6="dal",1,"-")</f>
        <v>1</v>
      </c>
      <c r="E25" s="262">
        <f>IF(E6="pit",1,"-")</f>
        <v>1</v>
      </c>
      <c r="F25" s="262">
        <f>IF(F6="atl",1,"-")</f>
        <v>1</v>
      </c>
      <c r="G25" s="262">
        <f>IF(G6="bal",1,"-")</f>
        <v>1</v>
      </c>
      <c r="H25" s="262">
        <f>IF(H6="buf",1,"-")</f>
        <v>1</v>
      </c>
      <c r="I25" s="262">
        <f>IF(I6="no",1,"-")</f>
        <v>1</v>
      </c>
      <c r="J25" s="262">
        <f>IF(J6="nyg",1,"-")</f>
        <v>1</v>
      </c>
      <c r="K25" s="262">
        <f>IF(K6="sd",1,"-")</f>
        <v>1</v>
      </c>
      <c r="L25" s="262">
        <f>IF(L6="mia",1,"-")</f>
        <v>1</v>
      </c>
      <c r="M25" s="262">
        <f>IF(M6="ten",1,"-")</f>
        <v>1</v>
      </c>
      <c r="N25" s="262" t="str">
        <f>IF(N6="tb",1,"-")</f>
        <v>-</v>
      </c>
      <c r="O25" s="262">
        <f>IF(O6="oak",1,"-")</f>
        <v>1</v>
      </c>
      <c r="P25" s="262">
        <f>IF(P6="ne",1,"-")</f>
        <v>1</v>
      </c>
      <c r="Q25" s="262" t="str">
        <f>IF(Q6="kc",1,"-")</f>
        <v>-</v>
      </c>
      <c r="R25" s="262">
        <f>IF(R6="GB",1,"-")</f>
        <v>1</v>
      </c>
    </row>
    <row r="26" spans="2:20" x14ac:dyDescent="0.35">
      <c r="B26" s="255" t="s">
        <v>29</v>
      </c>
      <c r="C26" s="261">
        <f t="shared" ref="C26:C38" si="1">IF(C7="det",1,"-")</f>
        <v>1</v>
      </c>
      <c r="D26" s="262">
        <f t="shared" ref="D26:D38" si="2">IF(D7="dal",1,"-")</f>
        <v>1</v>
      </c>
      <c r="E26" s="262">
        <f t="shared" ref="E26:E38" si="3">IF(E7="pit",1,"-")</f>
        <v>1</v>
      </c>
      <c r="F26" s="262">
        <f t="shared" ref="F26:F38" si="4">IF(F7="atl",1,"-")</f>
        <v>1</v>
      </c>
      <c r="G26" s="262">
        <f t="shared" ref="G26:G38" si="5">IF(G7="bal",1,"-")</f>
        <v>1</v>
      </c>
      <c r="H26" s="262">
        <f t="shared" ref="H26:H38" si="6">IF(H7="buf",1,"-")</f>
        <v>1</v>
      </c>
      <c r="I26" s="262">
        <f t="shared" ref="I26:I38" si="7">IF(I7="no",1,"-")</f>
        <v>1</v>
      </c>
      <c r="J26" s="262">
        <f t="shared" ref="J26:J38" si="8">IF(J7="nyg",1,"-")</f>
        <v>1</v>
      </c>
      <c r="K26" s="262" t="str">
        <f t="shared" ref="K26:K38" si="9">IF(K7="sd",1,"-")</f>
        <v>-</v>
      </c>
      <c r="L26" s="262" t="str">
        <f t="shared" ref="L26:L38" si="10">IF(L7="mia",1,"-")</f>
        <v>-</v>
      </c>
      <c r="M26" s="262">
        <f t="shared" ref="M26:M38" si="11">IF(M7="ten",1,"-")</f>
        <v>1</v>
      </c>
      <c r="N26" s="262" t="str">
        <f t="shared" ref="N26:N38" si="12">IF(N7="tb",1,"-")</f>
        <v>-</v>
      </c>
      <c r="O26" s="262">
        <f t="shared" ref="O26:O38" si="13">IF(O7="oak",1,"-")</f>
        <v>1</v>
      </c>
      <c r="P26" s="262">
        <f t="shared" ref="P26:P38" si="14">IF(P7="ne",1,"-")</f>
        <v>1</v>
      </c>
      <c r="Q26" s="292" t="str">
        <f t="shared" ref="Q26:Q38" si="15">IF(Q7="kc",1,"-")</f>
        <v>-</v>
      </c>
      <c r="R26" s="262" t="str">
        <f t="shared" ref="R26:R38" si="16">IF(R7="GB",1,"-")</f>
        <v>-</v>
      </c>
    </row>
    <row r="27" spans="2:20" x14ac:dyDescent="0.35">
      <c r="B27" s="254" t="s">
        <v>30</v>
      </c>
      <c r="C27" s="261" t="str">
        <f t="shared" si="1"/>
        <v>-</v>
      </c>
      <c r="D27" s="262">
        <f t="shared" si="2"/>
        <v>1</v>
      </c>
      <c r="E27" s="262">
        <f t="shared" si="3"/>
        <v>1</v>
      </c>
      <c r="F27" s="262" t="str">
        <f t="shared" si="4"/>
        <v>-</v>
      </c>
      <c r="G27" s="262">
        <f t="shared" si="5"/>
        <v>1</v>
      </c>
      <c r="H27" s="262">
        <f t="shared" si="6"/>
        <v>1</v>
      </c>
      <c r="I27" s="262">
        <f t="shared" si="7"/>
        <v>1</v>
      </c>
      <c r="J27" s="262">
        <f t="shared" si="8"/>
        <v>1</v>
      </c>
      <c r="K27" s="262" t="str">
        <f t="shared" si="9"/>
        <v>-</v>
      </c>
      <c r="L27" s="262">
        <f t="shared" si="10"/>
        <v>1</v>
      </c>
      <c r="M27" s="262">
        <f t="shared" si="11"/>
        <v>1</v>
      </c>
      <c r="N27" s="262" t="str">
        <f t="shared" si="12"/>
        <v>-</v>
      </c>
      <c r="O27" s="262">
        <f t="shared" si="13"/>
        <v>1</v>
      </c>
      <c r="P27" s="262">
        <f t="shared" si="14"/>
        <v>1</v>
      </c>
      <c r="Q27" s="292" t="str">
        <f t="shared" si="15"/>
        <v>-</v>
      </c>
      <c r="R27" s="262">
        <f t="shared" si="16"/>
        <v>1</v>
      </c>
    </row>
    <row r="28" spans="2:20" x14ac:dyDescent="0.35">
      <c r="B28" s="255" t="s">
        <v>31</v>
      </c>
      <c r="C28" s="261" t="str">
        <f t="shared" si="1"/>
        <v>-</v>
      </c>
      <c r="D28" s="262">
        <f t="shared" si="2"/>
        <v>1</v>
      </c>
      <c r="E28" s="262">
        <f t="shared" si="3"/>
        <v>1</v>
      </c>
      <c r="F28" s="262">
        <f t="shared" si="4"/>
        <v>1</v>
      </c>
      <c r="G28" s="262">
        <f t="shared" si="5"/>
        <v>1</v>
      </c>
      <c r="H28" s="262">
        <f t="shared" si="6"/>
        <v>1</v>
      </c>
      <c r="I28" s="262">
        <f t="shared" si="7"/>
        <v>1</v>
      </c>
      <c r="J28" s="262">
        <f t="shared" si="8"/>
        <v>1</v>
      </c>
      <c r="K28" s="262" t="str">
        <f t="shared" si="9"/>
        <v>-</v>
      </c>
      <c r="L28" s="262">
        <f t="shared" si="10"/>
        <v>1</v>
      </c>
      <c r="M28" s="262" t="str">
        <f t="shared" si="11"/>
        <v>-</v>
      </c>
      <c r="N28" s="262" t="str">
        <f t="shared" si="12"/>
        <v>-</v>
      </c>
      <c r="O28" s="262" t="str">
        <f t="shared" si="13"/>
        <v>-</v>
      </c>
      <c r="P28" s="262">
        <f t="shared" si="14"/>
        <v>1</v>
      </c>
      <c r="Q28" s="292" t="str">
        <f t="shared" si="15"/>
        <v>-</v>
      </c>
      <c r="R28" s="262">
        <f t="shared" si="16"/>
        <v>1</v>
      </c>
    </row>
    <row r="29" spans="2:20" x14ac:dyDescent="0.35">
      <c r="B29" s="254" t="s">
        <v>32</v>
      </c>
      <c r="C29" s="261">
        <f t="shared" si="1"/>
        <v>1</v>
      </c>
      <c r="D29" s="262">
        <f t="shared" si="2"/>
        <v>1</v>
      </c>
      <c r="E29" s="262">
        <f t="shared" si="3"/>
        <v>1</v>
      </c>
      <c r="F29" s="262">
        <f t="shared" si="4"/>
        <v>1</v>
      </c>
      <c r="G29" s="262">
        <f t="shared" si="5"/>
        <v>1</v>
      </c>
      <c r="H29" s="262">
        <f t="shared" si="6"/>
        <v>1</v>
      </c>
      <c r="I29" s="262">
        <f t="shared" si="7"/>
        <v>1</v>
      </c>
      <c r="J29" s="262">
        <f t="shared" si="8"/>
        <v>1</v>
      </c>
      <c r="K29" s="262" t="str">
        <f t="shared" si="9"/>
        <v>-</v>
      </c>
      <c r="L29" s="262">
        <f t="shared" si="10"/>
        <v>1</v>
      </c>
      <c r="M29" s="262">
        <f t="shared" si="11"/>
        <v>1</v>
      </c>
      <c r="N29" s="262" t="str">
        <f t="shared" si="12"/>
        <v>-</v>
      </c>
      <c r="O29" s="262">
        <f t="shared" si="13"/>
        <v>1</v>
      </c>
      <c r="P29" s="262">
        <f t="shared" si="14"/>
        <v>1</v>
      </c>
      <c r="Q29" s="292">
        <f t="shared" si="15"/>
        <v>1</v>
      </c>
      <c r="R29" s="262" t="str">
        <f t="shared" si="16"/>
        <v>-</v>
      </c>
    </row>
    <row r="30" spans="2:20" x14ac:dyDescent="0.35">
      <c r="B30" s="255" t="s">
        <v>35</v>
      </c>
      <c r="C30" s="261" t="str">
        <f t="shared" si="1"/>
        <v>-</v>
      </c>
      <c r="D30" s="262">
        <f t="shared" si="2"/>
        <v>1</v>
      </c>
      <c r="E30" s="262">
        <f t="shared" si="3"/>
        <v>1</v>
      </c>
      <c r="F30" s="262">
        <f t="shared" si="4"/>
        <v>1</v>
      </c>
      <c r="G30" s="262">
        <f t="shared" si="5"/>
        <v>1</v>
      </c>
      <c r="H30" s="262">
        <f t="shared" si="6"/>
        <v>1</v>
      </c>
      <c r="I30" s="262" t="str">
        <f t="shared" si="7"/>
        <v>-</v>
      </c>
      <c r="J30" s="262">
        <f t="shared" si="8"/>
        <v>1</v>
      </c>
      <c r="K30" s="262">
        <f t="shared" si="9"/>
        <v>1</v>
      </c>
      <c r="L30" s="262">
        <f t="shared" si="10"/>
        <v>1</v>
      </c>
      <c r="M30" s="262">
        <f t="shared" si="11"/>
        <v>1</v>
      </c>
      <c r="N30" s="262" t="str">
        <f t="shared" si="12"/>
        <v>-</v>
      </c>
      <c r="O30" s="262">
        <f t="shared" si="13"/>
        <v>1</v>
      </c>
      <c r="P30" s="262">
        <f t="shared" si="14"/>
        <v>1</v>
      </c>
      <c r="Q30" s="292">
        <f t="shared" si="15"/>
        <v>1</v>
      </c>
      <c r="R30" s="262">
        <f t="shared" si="16"/>
        <v>1</v>
      </c>
    </row>
    <row r="31" spans="2:20" x14ac:dyDescent="0.35">
      <c r="B31" s="254" t="s">
        <v>36</v>
      </c>
      <c r="C31" s="261" t="str">
        <f t="shared" si="1"/>
        <v>-</v>
      </c>
      <c r="D31" s="262">
        <f t="shared" si="2"/>
        <v>1</v>
      </c>
      <c r="E31" s="262">
        <f t="shared" si="3"/>
        <v>1</v>
      </c>
      <c r="F31" s="262">
        <f t="shared" si="4"/>
        <v>1</v>
      </c>
      <c r="G31" s="262">
        <f t="shared" si="5"/>
        <v>1</v>
      </c>
      <c r="H31" s="262">
        <f t="shared" si="6"/>
        <v>1</v>
      </c>
      <c r="I31" s="262">
        <f t="shared" si="7"/>
        <v>1</v>
      </c>
      <c r="J31" s="262">
        <f t="shared" si="8"/>
        <v>1</v>
      </c>
      <c r="K31" s="262">
        <f t="shared" si="9"/>
        <v>1</v>
      </c>
      <c r="L31" s="262">
        <f t="shared" si="10"/>
        <v>1</v>
      </c>
      <c r="M31" s="262">
        <f t="shared" si="11"/>
        <v>1</v>
      </c>
      <c r="N31" s="262" t="str">
        <f t="shared" si="12"/>
        <v>-</v>
      </c>
      <c r="O31" s="262">
        <f t="shared" si="13"/>
        <v>1</v>
      </c>
      <c r="P31" s="262">
        <f t="shared" si="14"/>
        <v>1</v>
      </c>
      <c r="Q31" s="292">
        <f t="shared" si="15"/>
        <v>1</v>
      </c>
      <c r="R31" s="262">
        <f t="shared" si="16"/>
        <v>1</v>
      </c>
    </row>
    <row r="32" spans="2:20" x14ac:dyDescent="0.35">
      <c r="B32" s="255" t="s">
        <v>37</v>
      </c>
      <c r="C32" s="261" t="str">
        <f t="shared" si="1"/>
        <v>-</v>
      </c>
      <c r="D32" s="262">
        <f t="shared" si="2"/>
        <v>1</v>
      </c>
      <c r="E32" s="262">
        <f t="shared" si="3"/>
        <v>1</v>
      </c>
      <c r="F32" s="262">
        <f t="shared" si="4"/>
        <v>1</v>
      </c>
      <c r="G32" s="262">
        <f t="shared" si="5"/>
        <v>1</v>
      </c>
      <c r="H32" s="262">
        <f t="shared" si="6"/>
        <v>1</v>
      </c>
      <c r="I32" s="262">
        <f t="shared" si="7"/>
        <v>1</v>
      </c>
      <c r="J32" s="262">
        <f t="shared" si="8"/>
        <v>1</v>
      </c>
      <c r="K32" s="262">
        <f t="shared" si="9"/>
        <v>1</v>
      </c>
      <c r="L32" s="262">
        <f t="shared" si="10"/>
        <v>1</v>
      </c>
      <c r="M32" s="262">
        <f t="shared" si="11"/>
        <v>1</v>
      </c>
      <c r="N32" s="262" t="str">
        <f t="shared" si="12"/>
        <v>-</v>
      </c>
      <c r="O32" s="262">
        <f t="shared" si="13"/>
        <v>1</v>
      </c>
      <c r="P32" s="262">
        <f t="shared" si="14"/>
        <v>1</v>
      </c>
      <c r="Q32" s="292" t="str">
        <f t="shared" si="15"/>
        <v>-</v>
      </c>
      <c r="R32" s="262">
        <f t="shared" si="16"/>
        <v>1</v>
      </c>
    </row>
    <row r="33" spans="2:18" x14ac:dyDescent="0.35">
      <c r="B33" s="254" t="s">
        <v>57</v>
      </c>
      <c r="C33" s="261" t="str">
        <f t="shared" si="1"/>
        <v>-</v>
      </c>
      <c r="D33" s="262">
        <f t="shared" si="2"/>
        <v>1</v>
      </c>
      <c r="E33" s="262" t="str">
        <f t="shared" si="3"/>
        <v>-</v>
      </c>
      <c r="F33" s="262">
        <f t="shared" si="4"/>
        <v>1</v>
      </c>
      <c r="G33" s="262">
        <f t="shared" si="5"/>
        <v>1</v>
      </c>
      <c r="H33" s="262">
        <f t="shared" si="6"/>
        <v>1</v>
      </c>
      <c r="I33" s="262">
        <f t="shared" si="7"/>
        <v>1</v>
      </c>
      <c r="J33" s="262">
        <f t="shared" si="8"/>
        <v>1</v>
      </c>
      <c r="K33" s="262" t="str">
        <f t="shared" si="9"/>
        <v>-</v>
      </c>
      <c r="L33" s="262">
        <f t="shared" si="10"/>
        <v>1</v>
      </c>
      <c r="M33" s="262">
        <f t="shared" si="11"/>
        <v>1</v>
      </c>
      <c r="N33" s="262">
        <f t="shared" si="12"/>
        <v>1</v>
      </c>
      <c r="O33" s="262">
        <f t="shared" si="13"/>
        <v>1</v>
      </c>
      <c r="P33" s="262">
        <f t="shared" si="14"/>
        <v>1</v>
      </c>
      <c r="Q33" s="292">
        <f t="shared" si="15"/>
        <v>1</v>
      </c>
      <c r="R33" s="262" t="str">
        <f t="shared" si="16"/>
        <v>-</v>
      </c>
    </row>
    <row r="34" spans="2:18" x14ac:dyDescent="0.35">
      <c r="B34" s="255" t="s">
        <v>379</v>
      </c>
      <c r="C34" s="261">
        <f t="shared" si="1"/>
        <v>1</v>
      </c>
      <c r="D34" s="262">
        <f t="shared" si="2"/>
        <v>1</v>
      </c>
      <c r="E34" s="262">
        <f t="shared" si="3"/>
        <v>1</v>
      </c>
      <c r="F34" s="262" t="str">
        <f t="shared" si="4"/>
        <v>-</v>
      </c>
      <c r="G34" s="262" t="str">
        <f t="shared" si="5"/>
        <v>-</v>
      </c>
      <c r="H34" s="262">
        <f t="shared" si="6"/>
        <v>1</v>
      </c>
      <c r="I34" s="262">
        <f t="shared" si="7"/>
        <v>1</v>
      </c>
      <c r="J34" s="262">
        <f t="shared" si="8"/>
        <v>1</v>
      </c>
      <c r="K34" s="262" t="str">
        <f t="shared" si="9"/>
        <v>-</v>
      </c>
      <c r="L34" s="262">
        <f t="shared" si="10"/>
        <v>1</v>
      </c>
      <c r="M34" s="262">
        <f t="shared" si="11"/>
        <v>1</v>
      </c>
      <c r="N34" s="262" t="str">
        <f t="shared" si="12"/>
        <v>-</v>
      </c>
      <c r="O34" s="262">
        <f t="shared" si="13"/>
        <v>1</v>
      </c>
      <c r="P34" s="262">
        <f t="shared" si="14"/>
        <v>1</v>
      </c>
      <c r="Q34" s="292">
        <f t="shared" si="15"/>
        <v>1</v>
      </c>
      <c r="R34" s="262" t="str">
        <f t="shared" si="16"/>
        <v>-</v>
      </c>
    </row>
    <row r="35" spans="2:18" x14ac:dyDescent="0.35">
      <c r="B35" s="254" t="s">
        <v>380</v>
      </c>
      <c r="C35" s="261">
        <f t="shared" si="1"/>
        <v>1</v>
      </c>
      <c r="D35" s="262">
        <f t="shared" si="2"/>
        <v>1</v>
      </c>
      <c r="E35" s="262">
        <f t="shared" si="3"/>
        <v>1</v>
      </c>
      <c r="F35" s="262">
        <f t="shared" si="4"/>
        <v>1</v>
      </c>
      <c r="G35" s="262">
        <f t="shared" si="5"/>
        <v>1</v>
      </c>
      <c r="H35" s="262">
        <f t="shared" si="6"/>
        <v>1</v>
      </c>
      <c r="I35" s="262">
        <f t="shared" si="7"/>
        <v>1</v>
      </c>
      <c r="J35" s="262">
        <f t="shared" si="8"/>
        <v>1</v>
      </c>
      <c r="K35" s="262">
        <f t="shared" si="9"/>
        <v>1</v>
      </c>
      <c r="L35" s="262">
        <f t="shared" si="10"/>
        <v>1</v>
      </c>
      <c r="M35" s="262">
        <f t="shared" si="11"/>
        <v>1</v>
      </c>
      <c r="N35" s="262" t="str">
        <f t="shared" si="12"/>
        <v>-</v>
      </c>
      <c r="O35" s="262">
        <f t="shared" si="13"/>
        <v>1</v>
      </c>
      <c r="P35" s="262">
        <f t="shared" si="14"/>
        <v>1</v>
      </c>
      <c r="Q35" s="292">
        <f t="shared" si="15"/>
        <v>1</v>
      </c>
      <c r="R35" s="262" t="str">
        <f t="shared" si="16"/>
        <v>-</v>
      </c>
    </row>
    <row r="36" spans="2:18" x14ac:dyDescent="0.35">
      <c r="B36" s="255" t="s">
        <v>381</v>
      </c>
      <c r="C36" s="261" t="str">
        <f t="shared" si="1"/>
        <v>-</v>
      </c>
      <c r="D36" s="262">
        <f t="shared" si="2"/>
        <v>1</v>
      </c>
      <c r="E36" s="262">
        <f t="shared" si="3"/>
        <v>1</v>
      </c>
      <c r="F36" s="262">
        <f t="shared" si="4"/>
        <v>1</v>
      </c>
      <c r="G36" s="262">
        <f t="shared" si="5"/>
        <v>1</v>
      </c>
      <c r="H36" s="262">
        <f t="shared" si="6"/>
        <v>1</v>
      </c>
      <c r="I36" s="262">
        <f t="shared" si="7"/>
        <v>1</v>
      </c>
      <c r="J36" s="262">
        <f t="shared" si="8"/>
        <v>1</v>
      </c>
      <c r="K36" s="262" t="str">
        <f t="shared" si="9"/>
        <v>-</v>
      </c>
      <c r="L36" s="262">
        <f t="shared" si="10"/>
        <v>1</v>
      </c>
      <c r="M36" s="262">
        <f t="shared" si="11"/>
        <v>1</v>
      </c>
      <c r="N36" s="262" t="str">
        <f t="shared" si="12"/>
        <v>-</v>
      </c>
      <c r="O36" s="262">
        <f t="shared" si="13"/>
        <v>1</v>
      </c>
      <c r="P36" s="262">
        <f t="shared" si="14"/>
        <v>1</v>
      </c>
      <c r="Q36" s="292" t="str">
        <f t="shared" si="15"/>
        <v>-</v>
      </c>
      <c r="R36" s="262" t="str">
        <f t="shared" si="16"/>
        <v>-</v>
      </c>
    </row>
    <row r="37" spans="2:18" x14ac:dyDescent="0.35">
      <c r="B37" s="254" t="s">
        <v>387</v>
      </c>
      <c r="C37" s="261">
        <f t="shared" si="1"/>
        <v>1</v>
      </c>
      <c r="D37" s="262">
        <f t="shared" si="2"/>
        <v>1</v>
      </c>
      <c r="E37" s="262">
        <f t="shared" si="3"/>
        <v>1</v>
      </c>
      <c r="F37" s="262">
        <f t="shared" si="4"/>
        <v>1</v>
      </c>
      <c r="G37" s="262">
        <f t="shared" si="5"/>
        <v>1</v>
      </c>
      <c r="H37" s="262">
        <f t="shared" si="6"/>
        <v>1</v>
      </c>
      <c r="I37" s="262">
        <f t="shared" si="7"/>
        <v>1</v>
      </c>
      <c r="J37" s="262">
        <f t="shared" si="8"/>
        <v>1</v>
      </c>
      <c r="K37" s="262" t="str">
        <f t="shared" si="9"/>
        <v>-</v>
      </c>
      <c r="L37" s="262">
        <f t="shared" si="10"/>
        <v>1</v>
      </c>
      <c r="M37" s="262">
        <f t="shared" si="11"/>
        <v>1</v>
      </c>
      <c r="N37" s="262" t="str">
        <f t="shared" si="12"/>
        <v>-</v>
      </c>
      <c r="O37" s="262">
        <f t="shared" si="13"/>
        <v>1</v>
      </c>
      <c r="P37" s="262">
        <f t="shared" si="14"/>
        <v>1</v>
      </c>
      <c r="Q37" s="292" t="str">
        <f t="shared" si="15"/>
        <v>-</v>
      </c>
      <c r="R37" s="262">
        <f t="shared" si="16"/>
        <v>1</v>
      </c>
    </row>
    <row r="38" spans="2:18" ht="15" thickBot="1" x14ac:dyDescent="0.4">
      <c r="B38" s="260" t="s">
        <v>389</v>
      </c>
      <c r="C38" s="261">
        <f t="shared" si="1"/>
        <v>1</v>
      </c>
      <c r="D38" s="262">
        <f t="shared" si="2"/>
        <v>1</v>
      </c>
      <c r="E38" s="262">
        <f t="shared" si="3"/>
        <v>1</v>
      </c>
      <c r="F38" s="262">
        <f t="shared" si="4"/>
        <v>1</v>
      </c>
      <c r="G38" s="262">
        <f t="shared" si="5"/>
        <v>1</v>
      </c>
      <c r="H38" s="262">
        <f t="shared" si="6"/>
        <v>1</v>
      </c>
      <c r="I38" s="262">
        <f t="shared" si="7"/>
        <v>1</v>
      </c>
      <c r="J38" s="262">
        <f t="shared" si="8"/>
        <v>1</v>
      </c>
      <c r="K38" s="262">
        <f t="shared" si="9"/>
        <v>1</v>
      </c>
      <c r="L38" s="262">
        <f t="shared" si="10"/>
        <v>1</v>
      </c>
      <c r="M38" s="262">
        <f t="shared" si="11"/>
        <v>1</v>
      </c>
      <c r="N38" s="262" t="str">
        <f t="shared" si="12"/>
        <v>-</v>
      </c>
      <c r="O38" s="262">
        <f t="shared" si="13"/>
        <v>1</v>
      </c>
      <c r="P38" s="262">
        <f t="shared" si="14"/>
        <v>1</v>
      </c>
      <c r="Q38" s="292" t="str">
        <f t="shared" si="15"/>
        <v>-</v>
      </c>
      <c r="R38" s="262">
        <f t="shared" si="16"/>
        <v>1</v>
      </c>
    </row>
    <row r="39" spans="2:18" ht="15" thickTop="1" x14ac:dyDescent="0.35"/>
  </sheetData>
  <mergeCells count="2">
    <mergeCell ref="S4:S5"/>
    <mergeCell ref="C3:E3"/>
  </mergeCells>
  <conditionalFormatting sqref="A1:XFD2 A4:A1048576 B39:R1048576 B22:R22 T4:XFD19 R21 A3:C3 F3:XFD3 S20:XFD1048576">
    <cfRule type="cellIs" dxfId="2568" priority="355" operator="equal">
      <formula>"PHI"</formula>
    </cfRule>
    <cfRule type="cellIs" dxfId="2567" priority="356" operator="equal">
      <formula>"GB"</formula>
    </cfRule>
    <cfRule type="cellIs" dxfId="2566" priority="357" operator="equal">
      <formula>"MIN"</formula>
    </cfRule>
    <cfRule type="cellIs" dxfId="2565" priority="358" operator="equal">
      <formula>"NYG"</formula>
    </cfRule>
    <cfRule type="cellIs" dxfId="2564" priority="359" operator="equal">
      <formula>"PIT"</formula>
    </cfRule>
    <cfRule type="cellIs" dxfId="2563" priority="360" operator="equal">
      <formula>"KC"</formula>
    </cfRule>
    <cfRule type="cellIs" dxfId="2562" priority="361" operator="equal">
      <formula>"ARI"</formula>
    </cfRule>
    <cfRule type="cellIs" dxfId="2561" priority="362" operator="equal">
      <formula>"LA"</formula>
    </cfRule>
    <cfRule type="cellIs" dxfId="2560" priority="363" operator="equal">
      <formula>"SD"</formula>
    </cfRule>
    <cfRule type="cellIs" dxfId="2559" priority="364" operator="equal">
      <formula>"NO"</formula>
    </cfRule>
    <cfRule type="cellIs" dxfId="2558" priority="365" operator="equal">
      <formula>"SF"</formula>
    </cfRule>
    <cfRule type="cellIs" dxfId="2557" priority="366" operator="equal">
      <formula>"DAL"</formula>
    </cfRule>
    <cfRule type="cellIs" dxfId="2556" priority="367" operator="equal">
      <formula>"TB"</formula>
    </cfRule>
    <cfRule type="cellIs" dxfId="2555" priority="368" operator="equal">
      <formula>"DEN"</formula>
    </cfRule>
    <cfRule type="cellIs" dxfId="2554" priority="369" operator="equal">
      <formula>"BAL"</formula>
    </cfRule>
    <cfRule type="cellIs" dxfId="2553" priority="370" operator="equal">
      <formula>"OAK"</formula>
    </cfRule>
    <cfRule type="cellIs" dxfId="2552" priority="371" operator="equal">
      <formula>"HOU"</formula>
    </cfRule>
    <cfRule type="cellIs" dxfId="2551" priority="372" operator="equal">
      <formula>"TEN"</formula>
    </cfRule>
    <cfRule type="cellIs" dxfId="2550" priority="373" operator="equal">
      <formula>"CHI"</formula>
    </cfRule>
    <cfRule type="cellIs" dxfId="2549" priority="374" operator="equal">
      <formula>"DET"</formula>
    </cfRule>
    <cfRule type="cellIs" dxfId="2548" priority="375" operator="equal">
      <formula>"ATL"</formula>
    </cfRule>
    <cfRule type="cellIs" dxfId="2547" priority="376" operator="equal">
      <formula>"CAR"</formula>
    </cfRule>
    <cfRule type="cellIs" dxfId="2546" priority="377" operator="equal">
      <formula>"IND"</formula>
    </cfRule>
    <cfRule type="cellIs" dxfId="2545" priority="378" operator="equal">
      <formula>"JAX"</formula>
    </cfRule>
    <cfRule type="cellIs" dxfId="2544" priority="379" operator="equal">
      <formula>"NYJ"</formula>
    </cfRule>
    <cfRule type="cellIs" dxfId="2543" priority="380" operator="equal">
      <formula>"SEA"</formula>
    </cfRule>
    <cfRule type="cellIs" dxfId="2542" priority="381" operator="equal">
      <formula>"NE"</formula>
    </cfRule>
    <cfRule type="cellIs" dxfId="2541" priority="382" operator="equal">
      <formula>"BUF"</formula>
    </cfRule>
    <cfRule type="cellIs" dxfId="2540" priority="383" operator="equal">
      <formula>"WAS"</formula>
    </cfRule>
    <cfRule type="cellIs" dxfId="2539" priority="384" operator="equal">
      <formula>"CLE"</formula>
    </cfRule>
    <cfRule type="cellIs" dxfId="2538" priority="385" operator="equal">
      <formula>"CIN"</formula>
    </cfRule>
    <cfRule type="cellIs" dxfId="2537" priority="386" operator="equal">
      <formula>"MIA"</formula>
    </cfRule>
  </conditionalFormatting>
  <conditionalFormatting sqref="S4:S5">
    <cfRule type="cellIs" dxfId="2536" priority="258" operator="equal">
      <formula>"PHI"</formula>
    </cfRule>
    <cfRule type="cellIs" dxfId="2535" priority="259" operator="equal">
      <formula>"GB"</formula>
    </cfRule>
    <cfRule type="cellIs" dxfId="2534" priority="260" operator="equal">
      <formula>"MIN"</formula>
    </cfRule>
    <cfRule type="cellIs" dxfId="2533" priority="261" operator="equal">
      <formula>"NYG"</formula>
    </cfRule>
    <cfRule type="cellIs" dxfId="2532" priority="262" operator="equal">
      <formula>"PIT"</formula>
    </cfRule>
    <cfRule type="cellIs" dxfId="2531" priority="263" operator="equal">
      <formula>"KC"</formula>
    </cfRule>
    <cfRule type="cellIs" dxfId="2530" priority="264" operator="equal">
      <formula>"ARI"</formula>
    </cfRule>
    <cfRule type="cellIs" dxfId="2529" priority="265" operator="equal">
      <formula>"LA"</formula>
    </cfRule>
    <cfRule type="cellIs" dxfId="2528" priority="266" operator="equal">
      <formula>"SD"</formula>
    </cfRule>
    <cfRule type="cellIs" dxfId="2527" priority="267" operator="equal">
      <formula>"NO"</formula>
    </cfRule>
    <cfRule type="cellIs" dxfId="2526" priority="268" operator="equal">
      <formula>"SF"</formula>
    </cfRule>
    <cfRule type="cellIs" dxfId="2525" priority="269" operator="equal">
      <formula>"DAL"</formula>
    </cfRule>
    <cfRule type="cellIs" dxfId="2524" priority="270" operator="equal">
      <formula>"TB"</formula>
    </cfRule>
    <cfRule type="cellIs" dxfId="2523" priority="271" operator="equal">
      <formula>"DEN"</formula>
    </cfRule>
    <cfRule type="cellIs" dxfId="2522" priority="272" operator="equal">
      <formula>"BAL"</formula>
    </cfRule>
    <cfRule type="cellIs" dxfId="2521" priority="273" operator="equal">
      <formula>"OAK"</formula>
    </cfRule>
    <cfRule type="cellIs" dxfId="2520" priority="274" operator="equal">
      <formula>"HOU"</formula>
    </cfRule>
    <cfRule type="cellIs" dxfId="2519" priority="275" operator="equal">
      <formula>"TEN"</formula>
    </cfRule>
    <cfRule type="cellIs" dxfId="2518" priority="276" operator="equal">
      <formula>"CHI"</formula>
    </cfRule>
    <cfRule type="cellIs" dxfId="2517" priority="277" operator="equal">
      <formula>"DET"</formula>
    </cfRule>
    <cfRule type="cellIs" dxfId="2516" priority="278" operator="equal">
      <formula>"ATL"</formula>
    </cfRule>
    <cfRule type="cellIs" dxfId="2515" priority="279" operator="equal">
      <formula>"CAR"</formula>
    </cfRule>
    <cfRule type="cellIs" dxfId="2514" priority="280" operator="equal">
      <formula>"IND"</formula>
    </cfRule>
    <cfRule type="cellIs" dxfId="2513" priority="281" operator="equal">
      <formula>"JAX"</formula>
    </cfRule>
    <cfRule type="cellIs" dxfId="2512" priority="282" operator="equal">
      <formula>"NYJ"</formula>
    </cfRule>
    <cfRule type="cellIs" dxfId="2511" priority="283" operator="equal">
      <formula>"SEA"</formula>
    </cfRule>
    <cfRule type="cellIs" dxfId="2510" priority="284" operator="equal">
      <formula>"NE"</formula>
    </cfRule>
    <cfRule type="cellIs" dxfId="2509" priority="285" operator="equal">
      <formula>"BUF"</formula>
    </cfRule>
    <cfRule type="cellIs" dxfId="2508" priority="286" operator="equal">
      <formula>"WAS"</formula>
    </cfRule>
    <cfRule type="cellIs" dxfId="2507" priority="287" operator="equal">
      <formula>"CLE"</formula>
    </cfRule>
    <cfRule type="cellIs" dxfId="2506" priority="288" operator="equal">
      <formula>"CIN"</formula>
    </cfRule>
    <cfRule type="cellIs" dxfId="2505" priority="289" operator="equal">
      <formula>"MIA"</formula>
    </cfRule>
  </conditionalFormatting>
  <conditionalFormatting sqref="B21:Q21 B20">
    <cfRule type="cellIs" dxfId="2504" priority="226" operator="equal">
      <formula>"PHI"</formula>
    </cfRule>
    <cfRule type="cellIs" dxfId="2503" priority="227" operator="equal">
      <formula>"GB"</formula>
    </cfRule>
    <cfRule type="cellIs" dxfId="2502" priority="228" operator="equal">
      <formula>"MIN"</formula>
    </cfRule>
    <cfRule type="cellIs" dxfId="2501" priority="229" operator="equal">
      <formula>"NYG"</formula>
    </cfRule>
    <cfRule type="cellIs" dxfId="2500" priority="230" operator="equal">
      <formula>"PIT"</formula>
    </cfRule>
    <cfRule type="cellIs" dxfId="2499" priority="231" operator="equal">
      <formula>"KC"</formula>
    </cfRule>
    <cfRule type="cellIs" dxfId="2498" priority="232" operator="equal">
      <formula>"ARI"</formula>
    </cfRule>
    <cfRule type="cellIs" dxfId="2497" priority="233" operator="equal">
      <formula>"LA"</formula>
    </cfRule>
    <cfRule type="cellIs" dxfId="2496" priority="234" operator="equal">
      <formula>"SD"</formula>
    </cfRule>
    <cfRule type="cellIs" dxfId="2495" priority="235" operator="equal">
      <formula>"NO"</formula>
    </cfRule>
    <cfRule type="cellIs" dxfId="2494" priority="236" operator="equal">
      <formula>"SF"</formula>
    </cfRule>
    <cfRule type="cellIs" dxfId="2493" priority="237" operator="equal">
      <formula>"DAL"</formula>
    </cfRule>
    <cfRule type="cellIs" dxfId="2492" priority="238" operator="equal">
      <formula>"TB"</formula>
    </cfRule>
    <cfRule type="cellIs" dxfId="2491" priority="239" operator="equal">
      <formula>"DEN"</formula>
    </cfRule>
    <cfRule type="cellIs" dxfId="2490" priority="240" operator="equal">
      <formula>"BAL"</formula>
    </cfRule>
    <cfRule type="cellIs" dxfId="2489" priority="241" operator="equal">
      <formula>"OAK"</formula>
    </cfRule>
    <cfRule type="cellIs" dxfId="2488" priority="242" operator="equal">
      <formula>"HOU"</formula>
    </cfRule>
    <cfRule type="cellIs" dxfId="2487" priority="243" operator="equal">
      <formula>"TEN"</formula>
    </cfRule>
    <cfRule type="cellIs" dxfId="2486" priority="244" operator="equal">
      <formula>"CHI"</formula>
    </cfRule>
    <cfRule type="cellIs" dxfId="2485" priority="245" operator="equal">
      <formula>"DET"</formula>
    </cfRule>
    <cfRule type="cellIs" dxfId="2484" priority="246" operator="equal">
      <formula>"ATL"</formula>
    </cfRule>
    <cfRule type="cellIs" dxfId="2483" priority="247" operator="equal">
      <formula>"CAR"</formula>
    </cfRule>
    <cfRule type="cellIs" dxfId="2482" priority="248" operator="equal">
      <formula>"IND"</formula>
    </cfRule>
    <cfRule type="cellIs" dxfId="2481" priority="249" operator="equal">
      <formula>"JAX"</formula>
    </cfRule>
    <cfRule type="cellIs" dxfId="2480" priority="250" operator="equal">
      <formula>"NYJ"</formula>
    </cfRule>
    <cfRule type="cellIs" dxfId="2479" priority="251" operator="equal">
      <formula>"SEA"</formula>
    </cfRule>
    <cfRule type="cellIs" dxfId="2478" priority="252" operator="equal">
      <formula>"NE"</formula>
    </cfRule>
    <cfRule type="cellIs" dxfId="2477" priority="253" operator="equal">
      <formula>"BUF"</formula>
    </cfRule>
    <cfRule type="cellIs" dxfId="2476" priority="254" operator="equal">
      <formula>"WAS"</formula>
    </cfRule>
    <cfRule type="cellIs" dxfId="2475" priority="255" operator="equal">
      <formula>"CLE"</formula>
    </cfRule>
    <cfRule type="cellIs" dxfId="2474" priority="256" operator="equal">
      <formula>"CIN"</formula>
    </cfRule>
    <cfRule type="cellIs" dxfId="2473" priority="257" operator="equal">
      <formula>"MIA"</formula>
    </cfRule>
  </conditionalFormatting>
  <conditionalFormatting sqref="C20:R20 Q6:R19">
    <cfRule type="cellIs" dxfId="2472" priority="194" operator="equal">
      <formula>"PHI"</formula>
    </cfRule>
    <cfRule type="cellIs" dxfId="2471" priority="195" operator="equal">
      <formula>"GB"</formula>
    </cfRule>
    <cfRule type="cellIs" dxfId="2470" priority="196" operator="equal">
      <formula>"MIN"</formula>
    </cfRule>
    <cfRule type="cellIs" dxfId="2469" priority="197" operator="equal">
      <formula>"NYG"</formula>
    </cfRule>
    <cfRule type="cellIs" dxfId="2468" priority="198" operator="equal">
      <formula>"PIT"</formula>
    </cfRule>
    <cfRule type="cellIs" dxfId="2467" priority="199" operator="equal">
      <formula>"KC"</formula>
    </cfRule>
    <cfRule type="cellIs" dxfId="2466" priority="200" operator="equal">
      <formula>"ARI"</formula>
    </cfRule>
    <cfRule type="cellIs" dxfId="2465" priority="201" operator="equal">
      <formula>"LA"</formula>
    </cfRule>
    <cfRule type="cellIs" dxfId="2464" priority="202" operator="equal">
      <formula>"SD"</formula>
    </cfRule>
    <cfRule type="cellIs" dxfId="2463" priority="203" operator="equal">
      <formula>"NO"</formula>
    </cfRule>
    <cfRule type="cellIs" dxfId="2462" priority="204" operator="equal">
      <formula>"SF"</formula>
    </cfRule>
    <cfRule type="cellIs" dxfId="2461" priority="205" operator="equal">
      <formula>"DAL"</formula>
    </cfRule>
    <cfRule type="cellIs" dxfId="2460" priority="206" operator="equal">
      <formula>"TB"</formula>
    </cfRule>
    <cfRule type="cellIs" dxfId="2459" priority="207" operator="equal">
      <formula>"DEN"</formula>
    </cfRule>
    <cfRule type="cellIs" dxfId="2458" priority="208" operator="equal">
      <formula>"BAL"</formula>
    </cfRule>
    <cfRule type="cellIs" dxfId="2457" priority="209" operator="equal">
      <formula>"OAK"</formula>
    </cfRule>
    <cfRule type="cellIs" dxfId="2456" priority="210" operator="equal">
      <formula>"HOU"</formula>
    </cfRule>
    <cfRule type="cellIs" dxfId="2455" priority="211" operator="equal">
      <formula>"TEN"</formula>
    </cfRule>
    <cfRule type="cellIs" dxfId="2454" priority="212" operator="equal">
      <formula>"CHI"</formula>
    </cfRule>
    <cfRule type="cellIs" dxfId="2453" priority="213" operator="equal">
      <formula>"DET"</formula>
    </cfRule>
    <cfRule type="cellIs" dxfId="2452" priority="214" operator="equal">
      <formula>"ATL"</formula>
    </cfRule>
    <cfRule type="cellIs" dxfId="2451" priority="215" operator="equal">
      <formula>"CAR"</formula>
    </cfRule>
    <cfRule type="cellIs" dxfId="2450" priority="216" operator="equal">
      <formula>"IND"</formula>
    </cfRule>
    <cfRule type="cellIs" dxfId="2449" priority="217" operator="equal">
      <formula>"JAX"</formula>
    </cfRule>
    <cfRule type="cellIs" dxfId="2448" priority="218" operator="equal">
      <formula>"NYJ"</formula>
    </cfRule>
    <cfRule type="cellIs" dxfId="2447" priority="219" operator="equal">
      <formula>"SEA"</formula>
    </cfRule>
    <cfRule type="cellIs" dxfId="2446" priority="220" operator="equal">
      <formula>"NE"</formula>
    </cfRule>
    <cfRule type="cellIs" dxfId="2445" priority="221" operator="equal">
      <formula>"BUF"</formula>
    </cfRule>
    <cfRule type="cellIs" dxfId="2444" priority="222" operator="equal">
      <formula>"WAS"</formula>
    </cfRule>
    <cfRule type="cellIs" dxfId="2443" priority="223" operator="equal">
      <formula>"CLE"</formula>
    </cfRule>
    <cfRule type="cellIs" dxfId="2442" priority="224" operator="equal">
      <formula>"CIN"</formula>
    </cfRule>
    <cfRule type="cellIs" dxfId="2441" priority="225" operator="equal">
      <formula>"MIA"</formula>
    </cfRule>
  </conditionalFormatting>
  <conditionalFormatting sqref="B6:P19">
    <cfRule type="cellIs" dxfId="2440" priority="162" operator="equal">
      <formula>"PHI"</formula>
    </cfRule>
    <cfRule type="cellIs" dxfId="2439" priority="163" operator="equal">
      <formula>"GB"</formula>
    </cfRule>
    <cfRule type="cellIs" dxfId="2438" priority="164" operator="equal">
      <formula>"MIN"</formula>
    </cfRule>
    <cfRule type="cellIs" dxfId="2437" priority="165" operator="equal">
      <formula>"NYG"</formula>
    </cfRule>
    <cfRule type="cellIs" dxfId="2436" priority="166" operator="equal">
      <formula>"PIT"</formula>
    </cfRule>
    <cfRule type="cellIs" dxfId="2435" priority="167" operator="equal">
      <formula>"KC"</formula>
    </cfRule>
    <cfRule type="cellIs" dxfId="2434" priority="168" operator="equal">
      <formula>"ARI"</formula>
    </cfRule>
    <cfRule type="cellIs" dxfId="2433" priority="169" operator="equal">
      <formula>"LA"</formula>
    </cfRule>
    <cfRule type="cellIs" dxfId="2432" priority="170" operator="equal">
      <formula>"SD"</formula>
    </cfRule>
    <cfRule type="cellIs" dxfId="2431" priority="171" operator="equal">
      <formula>"NO"</formula>
    </cfRule>
    <cfRule type="cellIs" dxfId="2430" priority="172" operator="equal">
      <formula>"SF"</formula>
    </cfRule>
    <cfRule type="cellIs" dxfId="2429" priority="173" operator="equal">
      <formula>"DAL"</formula>
    </cfRule>
    <cfRule type="cellIs" dxfId="2428" priority="174" operator="equal">
      <formula>"TB"</formula>
    </cfRule>
    <cfRule type="cellIs" dxfId="2427" priority="175" operator="equal">
      <formula>"DEN"</formula>
    </cfRule>
    <cfRule type="cellIs" dxfId="2426" priority="176" operator="equal">
      <formula>"BAL"</formula>
    </cfRule>
    <cfRule type="cellIs" dxfId="2425" priority="177" operator="equal">
      <formula>"OAK"</formula>
    </cfRule>
    <cfRule type="cellIs" dxfId="2424" priority="178" operator="equal">
      <formula>"HOU"</formula>
    </cfRule>
    <cfRule type="cellIs" dxfId="2423" priority="179" operator="equal">
      <formula>"TEN"</formula>
    </cfRule>
    <cfRule type="cellIs" dxfId="2422" priority="180" operator="equal">
      <formula>"CHI"</formula>
    </cfRule>
    <cfRule type="cellIs" dxfId="2421" priority="181" operator="equal">
      <formula>"DET"</formula>
    </cfRule>
    <cfRule type="cellIs" dxfId="2420" priority="182" operator="equal">
      <formula>"ATL"</formula>
    </cfRule>
    <cfRule type="cellIs" dxfId="2419" priority="183" operator="equal">
      <formula>"CAR"</formula>
    </cfRule>
    <cfRule type="cellIs" dxfId="2418" priority="184" operator="equal">
      <formula>"IND"</formula>
    </cfRule>
    <cfRule type="cellIs" dxfId="2417" priority="185" operator="equal">
      <formula>"JAX"</formula>
    </cfRule>
    <cfRule type="cellIs" dxfId="2416" priority="186" operator="equal">
      <formula>"NYJ"</formula>
    </cfRule>
    <cfRule type="cellIs" dxfId="2415" priority="187" operator="equal">
      <formula>"SEA"</formula>
    </cfRule>
    <cfRule type="cellIs" dxfId="2414" priority="188" operator="equal">
      <formula>"NE"</formula>
    </cfRule>
    <cfRule type="cellIs" dxfId="2413" priority="189" operator="equal">
      <formula>"BUF"</formula>
    </cfRule>
    <cfRule type="cellIs" dxfId="2412" priority="190" operator="equal">
      <formula>"WAS"</formula>
    </cfRule>
    <cfRule type="cellIs" dxfId="2411" priority="191" operator="equal">
      <formula>"CLE"</formula>
    </cfRule>
    <cfRule type="cellIs" dxfId="2410" priority="192" operator="equal">
      <formula>"CIN"</formula>
    </cfRule>
    <cfRule type="cellIs" dxfId="2409" priority="193" operator="equal">
      <formula>"MIA"</formula>
    </cfRule>
  </conditionalFormatting>
  <conditionalFormatting sqref="B37:B38">
    <cfRule type="cellIs" dxfId="2408" priority="65" operator="equal">
      <formula>"PHI"</formula>
    </cfRule>
    <cfRule type="cellIs" dxfId="2407" priority="66" operator="equal">
      <formula>"GB"</formula>
    </cfRule>
    <cfRule type="cellIs" dxfId="2406" priority="67" operator="equal">
      <formula>"MIN"</formula>
    </cfRule>
    <cfRule type="cellIs" dxfId="2405" priority="68" operator="equal">
      <formula>"NYG"</formula>
    </cfRule>
    <cfRule type="cellIs" dxfId="2404" priority="69" operator="equal">
      <formula>"PIT"</formula>
    </cfRule>
    <cfRule type="cellIs" dxfId="2403" priority="70" operator="equal">
      <formula>"KC"</formula>
    </cfRule>
    <cfRule type="cellIs" dxfId="2402" priority="71" operator="equal">
      <formula>"ARI"</formula>
    </cfRule>
    <cfRule type="cellIs" dxfId="2401" priority="72" operator="equal">
      <formula>"LA"</formula>
    </cfRule>
    <cfRule type="cellIs" dxfId="2400" priority="73" operator="equal">
      <formula>"SD"</formula>
    </cfRule>
    <cfRule type="cellIs" dxfId="2399" priority="74" operator="equal">
      <formula>"NO"</formula>
    </cfRule>
    <cfRule type="cellIs" dxfId="2398" priority="75" operator="equal">
      <formula>"SF"</formula>
    </cfRule>
    <cfRule type="cellIs" dxfId="2397" priority="76" operator="equal">
      <formula>"DAL"</formula>
    </cfRule>
    <cfRule type="cellIs" dxfId="2396" priority="77" operator="equal">
      <formula>"TB"</formula>
    </cfRule>
    <cfRule type="cellIs" dxfId="2395" priority="78" operator="equal">
      <formula>"DEN"</formula>
    </cfRule>
    <cfRule type="cellIs" dxfId="2394" priority="79" operator="equal">
      <formula>"BAL"</formula>
    </cfRule>
    <cfRule type="cellIs" dxfId="2393" priority="80" operator="equal">
      <formula>"OAK"</formula>
    </cfRule>
    <cfRule type="cellIs" dxfId="2392" priority="81" operator="equal">
      <formula>"HOU"</formula>
    </cfRule>
    <cfRule type="cellIs" dxfId="2391" priority="82" operator="equal">
      <formula>"TEN"</formula>
    </cfRule>
    <cfRule type="cellIs" dxfId="2390" priority="83" operator="equal">
      <formula>"CHI"</formula>
    </cfRule>
    <cfRule type="cellIs" dxfId="2389" priority="84" operator="equal">
      <formula>"DET"</formula>
    </cfRule>
    <cfRule type="cellIs" dxfId="2388" priority="85" operator="equal">
      <formula>"ATL"</formula>
    </cfRule>
    <cfRule type="cellIs" dxfId="2387" priority="86" operator="equal">
      <formula>"CAR"</formula>
    </cfRule>
    <cfRule type="cellIs" dxfId="2386" priority="87" operator="equal">
      <formula>"IND"</formula>
    </cfRule>
    <cfRule type="cellIs" dxfId="2385" priority="88" operator="equal">
      <formula>"JAX"</formula>
    </cfRule>
    <cfRule type="cellIs" dxfId="2384" priority="89" operator="equal">
      <formula>"NYJ"</formula>
    </cfRule>
    <cfRule type="cellIs" dxfId="2383" priority="90" operator="equal">
      <formula>"SEA"</formula>
    </cfRule>
    <cfRule type="cellIs" dxfId="2382" priority="91" operator="equal">
      <formula>"NE"</formula>
    </cfRule>
    <cfRule type="cellIs" dxfId="2381" priority="92" operator="equal">
      <formula>"BUF"</formula>
    </cfRule>
    <cfRule type="cellIs" dxfId="2380" priority="93" operator="equal">
      <formula>"WAS"</formula>
    </cfRule>
    <cfRule type="cellIs" dxfId="2379" priority="94" operator="equal">
      <formula>"CLE"</formula>
    </cfRule>
    <cfRule type="cellIs" dxfId="2378" priority="95" operator="equal">
      <formula>"CIN"</formula>
    </cfRule>
    <cfRule type="cellIs" dxfId="2377" priority="96" operator="equal">
      <formula>"MIA"</formula>
    </cfRule>
  </conditionalFormatting>
  <conditionalFormatting sqref="C25:R38">
    <cfRule type="cellIs" dxfId="2376" priority="129" operator="equal">
      <formula>"PHI"</formula>
    </cfRule>
    <cfRule type="cellIs" dxfId="2375" priority="130" operator="equal">
      <formula>"GB"</formula>
    </cfRule>
    <cfRule type="cellIs" dxfId="2374" priority="131" operator="equal">
      <formula>"MIN"</formula>
    </cfRule>
    <cfRule type="cellIs" dxfId="2373" priority="132" operator="equal">
      <formula>"NYG"</formula>
    </cfRule>
    <cfRule type="cellIs" dxfId="2372" priority="133" operator="equal">
      <formula>"PIT"</formula>
    </cfRule>
    <cfRule type="cellIs" dxfId="2371" priority="134" operator="equal">
      <formula>"KC"</formula>
    </cfRule>
    <cfRule type="cellIs" dxfId="2370" priority="135" operator="equal">
      <formula>"ARI"</formula>
    </cfRule>
    <cfRule type="cellIs" dxfId="2369" priority="136" operator="equal">
      <formula>"LA"</formula>
    </cfRule>
    <cfRule type="cellIs" dxfId="2368" priority="137" operator="equal">
      <formula>"SD"</formula>
    </cfRule>
    <cfRule type="cellIs" dxfId="2367" priority="138" operator="equal">
      <formula>"NO"</formula>
    </cfRule>
    <cfRule type="cellIs" dxfId="2366" priority="139" operator="equal">
      <formula>"SF"</formula>
    </cfRule>
    <cfRule type="cellIs" dxfId="2365" priority="140" operator="equal">
      <formula>"DAL"</formula>
    </cfRule>
    <cfRule type="cellIs" dxfId="2364" priority="141" operator="equal">
      <formula>"TB"</formula>
    </cfRule>
    <cfRule type="cellIs" dxfId="2363" priority="142" operator="equal">
      <formula>"DEN"</formula>
    </cfRule>
    <cfRule type="cellIs" dxfId="2362" priority="143" operator="equal">
      <formula>"BAL"</formula>
    </cfRule>
    <cfRule type="cellIs" dxfId="2361" priority="144" operator="equal">
      <formula>"OAK"</formula>
    </cfRule>
    <cfRule type="cellIs" dxfId="2360" priority="145" operator="equal">
      <formula>"HOU"</formula>
    </cfRule>
    <cfRule type="cellIs" dxfId="2359" priority="146" operator="equal">
      <formula>"TEN"</formula>
    </cfRule>
    <cfRule type="cellIs" dxfId="2358" priority="147" operator="equal">
      <formula>"CHI"</formula>
    </cfRule>
    <cfRule type="cellIs" dxfId="2357" priority="148" operator="equal">
      <formula>"DET"</formula>
    </cfRule>
    <cfRule type="cellIs" dxfId="2356" priority="149" operator="equal">
      <formula>"ATL"</formula>
    </cfRule>
    <cfRule type="cellIs" dxfId="2355" priority="150" operator="equal">
      <formula>"CAR"</formula>
    </cfRule>
    <cfRule type="cellIs" dxfId="2354" priority="151" operator="equal">
      <formula>"IND"</formula>
    </cfRule>
    <cfRule type="cellIs" dxfId="2353" priority="152" operator="equal">
      <formula>"JAX"</formula>
    </cfRule>
    <cfRule type="cellIs" dxfId="2352" priority="153" operator="equal">
      <formula>"NYJ"</formula>
    </cfRule>
    <cfRule type="cellIs" dxfId="2351" priority="154" operator="equal">
      <formula>"SEA"</formula>
    </cfRule>
    <cfRule type="cellIs" dxfId="2350" priority="155" operator="equal">
      <formula>"NE"</formula>
    </cfRule>
    <cfRule type="cellIs" dxfId="2349" priority="156" operator="equal">
      <formula>"BUF"</formula>
    </cfRule>
    <cfRule type="cellIs" dxfId="2348" priority="157" operator="equal">
      <formula>"WAS"</formula>
    </cfRule>
    <cfRule type="cellIs" dxfId="2347" priority="158" operator="equal">
      <formula>"CLE"</formula>
    </cfRule>
    <cfRule type="cellIs" dxfId="2346" priority="159" operator="equal">
      <formula>"CIN"</formula>
    </cfRule>
    <cfRule type="cellIs" dxfId="2345" priority="160" operator="equal">
      <formula>"MIA"</formula>
    </cfRule>
  </conditionalFormatting>
  <conditionalFormatting sqref="B25:B36">
    <cfRule type="cellIs" dxfId="2344" priority="97" operator="equal">
      <formula>"PHI"</formula>
    </cfRule>
    <cfRule type="cellIs" dxfId="2343" priority="98" operator="equal">
      <formula>"GB"</formula>
    </cfRule>
    <cfRule type="cellIs" dxfId="2342" priority="99" operator="equal">
      <formula>"MIN"</formula>
    </cfRule>
    <cfRule type="cellIs" dxfId="2341" priority="100" operator="equal">
      <formula>"NYG"</formula>
    </cfRule>
    <cfRule type="cellIs" dxfId="2340" priority="101" operator="equal">
      <formula>"PIT"</formula>
    </cfRule>
    <cfRule type="cellIs" dxfId="2339" priority="102" operator="equal">
      <formula>"KC"</formula>
    </cfRule>
    <cfRule type="cellIs" dxfId="2338" priority="103" operator="equal">
      <formula>"ARI"</formula>
    </cfRule>
    <cfRule type="cellIs" dxfId="2337" priority="104" operator="equal">
      <formula>"LA"</formula>
    </cfRule>
    <cfRule type="cellIs" dxfId="2336" priority="105" operator="equal">
      <formula>"SD"</formula>
    </cfRule>
    <cfRule type="cellIs" dxfId="2335" priority="106" operator="equal">
      <formula>"NO"</formula>
    </cfRule>
    <cfRule type="cellIs" dxfId="2334" priority="107" operator="equal">
      <formula>"SF"</formula>
    </cfRule>
    <cfRule type="cellIs" dxfId="2333" priority="108" operator="equal">
      <formula>"DAL"</formula>
    </cfRule>
    <cfRule type="cellIs" dxfId="2332" priority="109" operator="equal">
      <formula>"TB"</formula>
    </cfRule>
    <cfRule type="cellIs" dxfId="2331" priority="110" operator="equal">
      <formula>"DEN"</formula>
    </cfRule>
    <cfRule type="cellIs" dxfId="2330" priority="111" operator="equal">
      <formula>"BAL"</formula>
    </cfRule>
    <cfRule type="cellIs" dxfId="2329" priority="112" operator="equal">
      <formula>"OAK"</formula>
    </cfRule>
    <cfRule type="cellIs" dxfId="2328" priority="113" operator="equal">
      <formula>"HOU"</formula>
    </cfRule>
    <cfRule type="cellIs" dxfId="2327" priority="114" operator="equal">
      <formula>"TEN"</formula>
    </cfRule>
    <cfRule type="cellIs" dxfId="2326" priority="115" operator="equal">
      <formula>"CHI"</formula>
    </cfRule>
    <cfRule type="cellIs" dxfId="2325" priority="116" operator="equal">
      <formula>"DET"</formula>
    </cfRule>
    <cfRule type="cellIs" dxfId="2324" priority="117" operator="equal">
      <formula>"ATL"</formula>
    </cfRule>
    <cfRule type="cellIs" dxfId="2323" priority="118" operator="equal">
      <formula>"CAR"</formula>
    </cfRule>
    <cfRule type="cellIs" dxfId="2322" priority="119" operator="equal">
      <formula>"IND"</formula>
    </cfRule>
    <cfRule type="cellIs" dxfId="2321" priority="120" operator="equal">
      <formula>"JAX"</formula>
    </cfRule>
    <cfRule type="cellIs" dxfId="2320" priority="121" operator="equal">
      <formula>"NYJ"</formula>
    </cfRule>
    <cfRule type="cellIs" dxfId="2319" priority="122" operator="equal">
      <formula>"SEA"</formula>
    </cfRule>
    <cfRule type="cellIs" dxfId="2318" priority="123" operator="equal">
      <formula>"NE"</formula>
    </cfRule>
    <cfRule type="cellIs" dxfId="2317" priority="124" operator="equal">
      <formula>"BUF"</formula>
    </cfRule>
    <cfRule type="cellIs" dxfId="2316" priority="125" operator="equal">
      <formula>"WAS"</formula>
    </cfRule>
    <cfRule type="cellIs" dxfId="2315" priority="126" operator="equal">
      <formula>"CLE"</formula>
    </cfRule>
    <cfRule type="cellIs" dxfId="2314" priority="127" operator="equal">
      <formula>"CIN"</formula>
    </cfRule>
    <cfRule type="cellIs" dxfId="2313" priority="128" operator="equal">
      <formula>"MIA"</formula>
    </cfRule>
  </conditionalFormatting>
  <conditionalFormatting sqref="C25:R38">
    <cfRule type="colorScale" priority="161">
      <colorScale>
        <cfvo type="min"/>
        <cfvo type="max"/>
        <color rgb="FFFCFCFF"/>
        <color rgb="FF63BE7B"/>
      </colorScale>
    </cfRule>
  </conditionalFormatting>
  <conditionalFormatting sqref="S6:S19">
    <cfRule type="cellIs" dxfId="2312" priority="1" operator="equal">
      <formula>"PHI"</formula>
    </cfRule>
    <cfRule type="cellIs" dxfId="2311" priority="2" operator="equal">
      <formula>"GB"</formula>
    </cfRule>
    <cfRule type="cellIs" dxfId="2310" priority="3" operator="equal">
      <formula>"MIN"</formula>
    </cfRule>
    <cfRule type="cellIs" dxfId="2309" priority="4" operator="equal">
      <formula>"NYG"</formula>
    </cfRule>
    <cfRule type="cellIs" dxfId="2308" priority="5" operator="equal">
      <formula>"PIT"</formula>
    </cfRule>
    <cfRule type="cellIs" dxfId="2307" priority="6" operator="equal">
      <formula>"KC"</formula>
    </cfRule>
    <cfRule type="cellIs" dxfId="2306" priority="7" operator="equal">
      <formula>"ARI"</formula>
    </cfRule>
    <cfRule type="cellIs" dxfId="2305" priority="8" operator="equal">
      <formula>"LA"</formula>
    </cfRule>
    <cfRule type="cellIs" dxfId="2304" priority="9" operator="equal">
      <formula>"SD"</formula>
    </cfRule>
    <cfRule type="cellIs" dxfId="2303" priority="10" operator="equal">
      <formula>"NO"</formula>
    </cfRule>
    <cfRule type="cellIs" dxfId="2302" priority="11" operator="equal">
      <formula>"SF"</formula>
    </cfRule>
    <cfRule type="cellIs" dxfId="2301" priority="12" operator="equal">
      <formula>"DAL"</formula>
    </cfRule>
    <cfRule type="cellIs" dxfId="2300" priority="13" operator="equal">
      <formula>"TB"</formula>
    </cfRule>
    <cfRule type="cellIs" dxfId="2299" priority="14" operator="equal">
      <formula>"DEN"</formula>
    </cfRule>
    <cfRule type="cellIs" dxfId="2298" priority="15" operator="equal">
      <formula>"BAL"</formula>
    </cfRule>
    <cfRule type="cellIs" dxfId="2297" priority="16" operator="equal">
      <formula>"OAK"</formula>
    </cfRule>
    <cfRule type="cellIs" dxfId="2296" priority="17" operator="equal">
      <formula>"HOU"</formula>
    </cfRule>
    <cfRule type="cellIs" dxfId="2295" priority="18" operator="equal">
      <formula>"TEN"</formula>
    </cfRule>
    <cfRule type="cellIs" dxfId="2294" priority="19" operator="equal">
      <formula>"CHI"</formula>
    </cfRule>
    <cfRule type="cellIs" dxfId="2293" priority="20" operator="equal">
      <formula>"DET"</formula>
    </cfRule>
    <cfRule type="cellIs" dxfId="2292" priority="21" operator="equal">
      <formula>"ATL"</formula>
    </cfRule>
    <cfRule type="cellIs" dxfId="2291" priority="22" operator="equal">
      <formula>"CAR"</formula>
    </cfRule>
    <cfRule type="cellIs" dxfId="2290" priority="23" operator="equal">
      <formula>"IND"</formula>
    </cfRule>
    <cfRule type="cellIs" dxfId="2289" priority="24" operator="equal">
      <formula>"JAX"</formula>
    </cfRule>
    <cfRule type="cellIs" dxfId="2288" priority="25" operator="equal">
      <formula>"NYJ"</formula>
    </cfRule>
    <cfRule type="cellIs" dxfId="2287" priority="26" operator="equal">
      <formula>"SEA"</formula>
    </cfRule>
    <cfRule type="cellIs" dxfId="2286" priority="27" operator="equal">
      <formula>"NE"</formula>
    </cfRule>
    <cfRule type="cellIs" dxfId="2285" priority="28" operator="equal">
      <formula>"BUF"</formula>
    </cfRule>
    <cfRule type="cellIs" dxfId="2284" priority="29" operator="equal">
      <formula>"WAS"</formula>
    </cfRule>
    <cfRule type="cellIs" dxfId="2283" priority="30" operator="equal">
      <formula>"CLE"</formula>
    </cfRule>
    <cfRule type="cellIs" dxfId="2282" priority="31" operator="equal">
      <formula>"CIN"</formula>
    </cfRule>
    <cfRule type="cellIs" dxfId="2281" priority="32" operator="equal">
      <formula>"MIA"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39"/>
  <sheetViews>
    <sheetView zoomScaleNormal="100" workbookViewId="0"/>
  </sheetViews>
  <sheetFormatPr defaultRowHeight="14.5" x14ac:dyDescent="0.35"/>
  <cols>
    <col min="1" max="1" width="8.7265625" style="41"/>
    <col min="2" max="2" width="10.90625" style="41" bestFit="1" customWidth="1"/>
    <col min="3" max="3" width="9.453125" style="41" bestFit="1" customWidth="1"/>
    <col min="4" max="4" width="9.08984375" style="41" bestFit="1" customWidth="1"/>
    <col min="5" max="5" width="8.54296875" style="41" bestFit="1" customWidth="1"/>
    <col min="6" max="6" width="8.90625" style="41" bestFit="1" customWidth="1"/>
    <col min="7" max="7" width="7.81640625" style="41" bestFit="1" customWidth="1"/>
    <col min="8" max="8" width="6.90625" style="41" bestFit="1" customWidth="1"/>
    <col min="9" max="9" width="9.1796875" style="41" bestFit="1" customWidth="1"/>
    <col min="10" max="10" width="8.453125" style="41" bestFit="1" customWidth="1"/>
    <col min="11" max="11" width="7.36328125" style="41" bestFit="1" customWidth="1"/>
    <col min="12" max="12" width="9.54296875" style="41" bestFit="1" customWidth="1"/>
    <col min="13" max="13" width="8.81640625" style="41" bestFit="1" customWidth="1"/>
    <col min="14" max="14" width="6.90625" style="41" bestFit="1" customWidth="1"/>
    <col min="15" max="15" width="9.36328125" style="41" bestFit="1" customWidth="1"/>
    <col min="16" max="16" width="9.08984375" style="41" bestFit="1" customWidth="1"/>
    <col min="17" max="17" width="8.6328125" style="41" bestFit="1" customWidth="1"/>
    <col min="18" max="16384" width="8.7265625" style="41"/>
  </cols>
  <sheetData>
    <row r="1" spans="1:21" x14ac:dyDescent="0.35">
      <c r="A1" s="41" t="s">
        <v>371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</row>
    <row r="3" spans="1:21" ht="15" thickBot="1" x14ac:dyDescent="0.4">
      <c r="D3" s="69"/>
    </row>
    <row r="4" spans="1:21" ht="15.5" customHeight="1" thickTop="1" thickBot="1" x14ac:dyDescent="0.4">
      <c r="B4" s="11" t="s">
        <v>0</v>
      </c>
      <c r="C4" s="82" t="s">
        <v>292</v>
      </c>
      <c r="D4" s="82" t="s">
        <v>293</v>
      </c>
      <c r="E4" s="82" t="s">
        <v>294</v>
      </c>
      <c r="F4" s="82" t="s">
        <v>295</v>
      </c>
      <c r="G4" s="82" t="s">
        <v>296</v>
      </c>
      <c r="H4" s="82" t="s">
        <v>297</v>
      </c>
      <c r="I4" s="82" t="s">
        <v>298</v>
      </c>
      <c r="J4" s="82" t="s">
        <v>299</v>
      </c>
      <c r="K4" s="82" t="s">
        <v>300</v>
      </c>
      <c r="L4" s="82" t="s">
        <v>301</v>
      </c>
      <c r="M4" s="82" t="s">
        <v>302</v>
      </c>
      <c r="N4" s="82" t="s">
        <v>303</v>
      </c>
      <c r="O4" s="82" t="s">
        <v>304</v>
      </c>
      <c r="P4" s="82" t="s">
        <v>305</v>
      </c>
      <c r="Q4" s="82" t="s">
        <v>306</v>
      </c>
      <c r="R4" s="406" t="s">
        <v>92</v>
      </c>
    </row>
    <row r="5" spans="1:21" ht="15.5" thickTop="1" thickBot="1" x14ac:dyDescent="0.4">
      <c r="B5" s="26" t="s">
        <v>1</v>
      </c>
      <c r="C5" s="219" t="s">
        <v>115</v>
      </c>
      <c r="D5" s="219" t="s">
        <v>419</v>
      </c>
      <c r="E5" s="219" t="s">
        <v>113</v>
      </c>
      <c r="F5" s="219" t="s">
        <v>165</v>
      </c>
      <c r="G5" s="219" t="s">
        <v>23</v>
      </c>
      <c r="H5" s="219" t="s">
        <v>112</v>
      </c>
      <c r="I5" s="219" t="s">
        <v>23</v>
      </c>
      <c r="J5" s="219" t="s">
        <v>369</v>
      </c>
      <c r="K5" s="219" t="s">
        <v>111</v>
      </c>
      <c r="L5" s="219" t="s">
        <v>20</v>
      </c>
      <c r="M5" s="219" t="s">
        <v>165</v>
      </c>
      <c r="N5" s="219" t="s">
        <v>114</v>
      </c>
      <c r="O5" s="219" t="s">
        <v>111</v>
      </c>
      <c r="P5" s="219" t="s">
        <v>142</v>
      </c>
      <c r="Q5" s="219" t="s">
        <v>181</v>
      </c>
      <c r="R5" s="407"/>
    </row>
    <row r="6" spans="1:21" ht="15" thickTop="1" x14ac:dyDescent="0.35">
      <c r="B6" s="360" t="s">
        <v>3</v>
      </c>
      <c r="C6" s="318" t="s">
        <v>90</v>
      </c>
      <c r="D6" s="319" t="s">
        <v>34</v>
      </c>
      <c r="E6" s="319" t="s">
        <v>61</v>
      </c>
      <c r="F6" s="319" t="s">
        <v>64</v>
      </c>
      <c r="G6" s="319" t="s">
        <v>58</v>
      </c>
      <c r="H6" s="319" t="s">
        <v>89</v>
      </c>
      <c r="I6" s="319" t="s">
        <v>91</v>
      </c>
      <c r="J6" s="319" t="s">
        <v>62</v>
      </c>
      <c r="K6" s="319" t="s">
        <v>88</v>
      </c>
      <c r="L6" s="319" t="s">
        <v>74</v>
      </c>
      <c r="M6" s="319" t="s">
        <v>76</v>
      </c>
      <c r="N6" s="319" t="s">
        <v>119</v>
      </c>
      <c r="O6" s="319" t="s">
        <v>118</v>
      </c>
      <c r="P6" s="319" t="s">
        <v>67</v>
      </c>
      <c r="Q6" s="320" t="s">
        <v>79</v>
      </c>
      <c r="R6" s="293">
        <f>SUM(C25:Q25)</f>
        <v>11</v>
      </c>
    </row>
    <row r="7" spans="1:21" x14ac:dyDescent="0.35">
      <c r="B7" s="361" t="s">
        <v>29</v>
      </c>
      <c r="C7" s="321" t="s">
        <v>90</v>
      </c>
      <c r="D7" s="298" t="s">
        <v>34</v>
      </c>
      <c r="E7" s="298" t="s">
        <v>61</v>
      </c>
      <c r="F7" s="298" t="s">
        <v>64</v>
      </c>
      <c r="G7" s="298" t="s">
        <v>58</v>
      </c>
      <c r="H7" s="298" t="s">
        <v>89</v>
      </c>
      <c r="I7" s="298" t="s">
        <v>91</v>
      </c>
      <c r="J7" s="298" t="s">
        <v>62</v>
      </c>
      <c r="K7" s="298" t="s">
        <v>72</v>
      </c>
      <c r="L7" s="298" t="s">
        <v>74</v>
      </c>
      <c r="M7" s="298" t="s">
        <v>76</v>
      </c>
      <c r="N7" s="298" t="s">
        <v>73</v>
      </c>
      <c r="O7" s="298" t="s">
        <v>71</v>
      </c>
      <c r="P7" s="298" t="s">
        <v>67</v>
      </c>
      <c r="Q7" s="322" t="s">
        <v>69</v>
      </c>
      <c r="R7" s="293">
        <f t="shared" ref="R7:R19" si="0">SUM(C26:Q26)</f>
        <v>11</v>
      </c>
    </row>
    <row r="8" spans="1:21" x14ac:dyDescent="0.35">
      <c r="B8" s="361" t="s">
        <v>30</v>
      </c>
      <c r="C8" s="321" t="s">
        <v>90</v>
      </c>
      <c r="D8" s="298" t="s">
        <v>34</v>
      </c>
      <c r="E8" s="298" t="s">
        <v>61</v>
      </c>
      <c r="F8" s="298" t="s">
        <v>64</v>
      </c>
      <c r="G8" s="298" t="s">
        <v>58</v>
      </c>
      <c r="H8" s="298" t="s">
        <v>89</v>
      </c>
      <c r="I8" s="298" t="s">
        <v>121</v>
      </c>
      <c r="J8" s="298" t="s">
        <v>75</v>
      </c>
      <c r="K8" s="298" t="s">
        <v>72</v>
      </c>
      <c r="L8" s="298" t="s">
        <v>65</v>
      </c>
      <c r="M8" s="298" t="s">
        <v>76</v>
      </c>
      <c r="N8" s="298" t="s">
        <v>119</v>
      </c>
      <c r="O8" s="298" t="s">
        <v>118</v>
      </c>
      <c r="P8" s="298" t="s">
        <v>67</v>
      </c>
      <c r="Q8" s="322" t="s">
        <v>69</v>
      </c>
      <c r="R8" s="293">
        <f t="shared" si="0"/>
        <v>8</v>
      </c>
    </row>
    <row r="9" spans="1:21" x14ac:dyDescent="0.35">
      <c r="B9" s="361" t="s">
        <v>31</v>
      </c>
      <c r="C9" s="363" t="s">
        <v>90</v>
      </c>
      <c r="D9" s="317" t="s">
        <v>34</v>
      </c>
      <c r="E9" s="317" t="s">
        <v>61</v>
      </c>
      <c r="F9" s="317" t="s">
        <v>64</v>
      </c>
      <c r="G9" s="317" t="s">
        <v>60</v>
      </c>
      <c r="H9" s="317" t="s">
        <v>89</v>
      </c>
      <c r="I9" s="317" t="s">
        <v>91</v>
      </c>
      <c r="J9" s="317" t="s">
        <v>62</v>
      </c>
      <c r="K9" s="317" t="s">
        <v>88</v>
      </c>
      <c r="L9" s="317" t="s">
        <v>74</v>
      </c>
      <c r="M9" s="317" t="s">
        <v>68</v>
      </c>
      <c r="N9" s="317" t="s">
        <v>119</v>
      </c>
      <c r="O9" s="317" t="s">
        <v>118</v>
      </c>
      <c r="P9" s="317" t="s">
        <v>67</v>
      </c>
      <c r="Q9" s="324" t="s">
        <v>69</v>
      </c>
      <c r="R9" s="293">
        <f t="shared" si="0"/>
        <v>12</v>
      </c>
    </row>
    <row r="10" spans="1:21" x14ac:dyDescent="0.35">
      <c r="B10" s="302" t="s">
        <v>32</v>
      </c>
      <c r="C10" s="300" t="s">
        <v>90</v>
      </c>
      <c r="D10" s="298" t="s">
        <v>34</v>
      </c>
      <c r="E10" s="298" t="s">
        <v>117</v>
      </c>
      <c r="F10" s="298" t="s">
        <v>64</v>
      </c>
      <c r="G10" s="298" t="s">
        <v>60</v>
      </c>
      <c r="H10" s="298" t="s">
        <v>89</v>
      </c>
      <c r="I10" s="298" t="s">
        <v>91</v>
      </c>
      <c r="J10" s="298" t="s">
        <v>62</v>
      </c>
      <c r="K10" s="298" t="s">
        <v>88</v>
      </c>
      <c r="L10" s="298" t="s">
        <v>74</v>
      </c>
      <c r="M10" s="298" t="s">
        <v>76</v>
      </c>
      <c r="N10" s="298" t="s">
        <v>119</v>
      </c>
      <c r="O10" s="298" t="s">
        <v>118</v>
      </c>
      <c r="P10" s="298" t="s">
        <v>67</v>
      </c>
      <c r="Q10" s="322" t="s">
        <v>69</v>
      </c>
      <c r="R10" s="293">
        <f t="shared" si="0"/>
        <v>14</v>
      </c>
    </row>
    <row r="11" spans="1:21" x14ac:dyDescent="0.35">
      <c r="B11" s="361" t="s">
        <v>35</v>
      </c>
      <c r="C11" s="300" t="s">
        <v>90</v>
      </c>
      <c r="D11" s="298" t="s">
        <v>34</v>
      </c>
      <c r="E11" s="298" t="s">
        <v>117</v>
      </c>
      <c r="F11" s="298" t="s">
        <v>64</v>
      </c>
      <c r="G11" s="298" t="s">
        <v>60</v>
      </c>
      <c r="H11" s="298" t="s">
        <v>89</v>
      </c>
      <c r="I11" s="298" t="s">
        <v>91</v>
      </c>
      <c r="J11" s="298" t="s">
        <v>75</v>
      </c>
      <c r="K11" s="298" t="s">
        <v>72</v>
      </c>
      <c r="L11" s="298" t="s">
        <v>74</v>
      </c>
      <c r="M11" s="298" t="s">
        <v>76</v>
      </c>
      <c r="N11" s="298" t="s">
        <v>119</v>
      </c>
      <c r="O11" s="298" t="s">
        <v>71</v>
      </c>
      <c r="P11" s="298" t="s">
        <v>67</v>
      </c>
      <c r="Q11" s="322" t="s">
        <v>69</v>
      </c>
      <c r="R11" s="293">
        <f t="shared" si="0"/>
        <v>11</v>
      </c>
    </row>
    <row r="12" spans="1:21" x14ac:dyDescent="0.35">
      <c r="B12" s="362" t="s">
        <v>36</v>
      </c>
      <c r="C12" s="300" t="s">
        <v>90</v>
      </c>
      <c r="D12" s="298" t="s">
        <v>34</v>
      </c>
      <c r="E12" s="298" t="s">
        <v>61</v>
      </c>
      <c r="F12" s="298" t="s">
        <v>64</v>
      </c>
      <c r="G12" s="298" t="s">
        <v>58</v>
      </c>
      <c r="H12" s="298" t="s">
        <v>89</v>
      </c>
      <c r="I12" s="298" t="s">
        <v>91</v>
      </c>
      <c r="J12" s="298" t="s">
        <v>75</v>
      </c>
      <c r="K12" s="298" t="s">
        <v>88</v>
      </c>
      <c r="L12" s="298" t="s">
        <v>74</v>
      </c>
      <c r="M12" s="298" t="s">
        <v>76</v>
      </c>
      <c r="N12" s="298" t="s">
        <v>119</v>
      </c>
      <c r="O12" s="298" t="s">
        <v>71</v>
      </c>
      <c r="P12" s="298" t="s">
        <v>67</v>
      </c>
      <c r="Q12" s="322" t="s">
        <v>69</v>
      </c>
      <c r="R12" s="293">
        <f t="shared" si="0"/>
        <v>10</v>
      </c>
    </row>
    <row r="13" spans="1:21" x14ac:dyDescent="0.35">
      <c r="B13" s="362" t="s">
        <v>37</v>
      </c>
      <c r="C13" s="300" t="s">
        <v>90</v>
      </c>
      <c r="D13" s="298" t="s">
        <v>34</v>
      </c>
      <c r="E13" s="298" t="s">
        <v>117</v>
      </c>
      <c r="F13" s="298" t="s">
        <v>64</v>
      </c>
      <c r="G13" s="298" t="s">
        <v>60</v>
      </c>
      <c r="H13" s="298" t="s">
        <v>89</v>
      </c>
      <c r="I13" s="298" t="s">
        <v>121</v>
      </c>
      <c r="J13" s="298" t="s">
        <v>75</v>
      </c>
      <c r="K13" s="298" t="s">
        <v>88</v>
      </c>
      <c r="L13" s="298" t="s">
        <v>74</v>
      </c>
      <c r="M13" s="298" t="s">
        <v>76</v>
      </c>
      <c r="N13" s="298" t="s">
        <v>119</v>
      </c>
      <c r="O13" s="298" t="s">
        <v>71</v>
      </c>
      <c r="P13" s="298" t="s">
        <v>67</v>
      </c>
      <c r="Q13" s="322" t="s">
        <v>69</v>
      </c>
      <c r="R13" s="293">
        <f t="shared" si="0"/>
        <v>11</v>
      </c>
    </row>
    <row r="14" spans="1:21" x14ac:dyDescent="0.35">
      <c r="B14" s="362" t="s">
        <v>57</v>
      </c>
      <c r="C14" s="300" t="s">
        <v>90</v>
      </c>
      <c r="D14" s="298" t="s">
        <v>34</v>
      </c>
      <c r="E14" s="298" t="s">
        <v>117</v>
      </c>
      <c r="F14" s="298" t="s">
        <v>64</v>
      </c>
      <c r="G14" s="298" t="s">
        <v>60</v>
      </c>
      <c r="H14" s="298" t="s">
        <v>89</v>
      </c>
      <c r="I14" s="298" t="s">
        <v>91</v>
      </c>
      <c r="J14" s="298" t="s">
        <v>75</v>
      </c>
      <c r="K14" s="298" t="s">
        <v>88</v>
      </c>
      <c r="L14" s="298" t="s">
        <v>74</v>
      </c>
      <c r="M14" s="298" t="s">
        <v>76</v>
      </c>
      <c r="N14" s="298" t="s">
        <v>73</v>
      </c>
      <c r="O14" s="298" t="s">
        <v>71</v>
      </c>
      <c r="P14" s="298" t="s">
        <v>67</v>
      </c>
      <c r="Q14" s="322" t="s">
        <v>69</v>
      </c>
      <c r="R14" s="293">
        <f t="shared" si="0"/>
        <v>13</v>
      </c>
    </row>
    <row r="15" spans="1:21" s="185" customFormat="1" x14ac:dyDescent="0.35">
      <c r="B15" s="303" t="s">
        <v>379</v>
      </c>
      <c r="C15" s="300" t="s">
        <v>90</v>
      </c>
      <c r="D15" s="298" t="s">
        <v>34</v>
      </c>
      <c r="E15" s="298" t="s">
        <v>61</v>
      </c>
      <c r="F15" s="298" t="s">
        <v>64</v>
      </c>
      <c r="G15" s="298" t="s">
        <v>60</v>
      </c>
      <c r="H15" s="298" t="s">
        <v>89</v>
      </c>
      <c r="I15" s="298" t="s">
        <v>121</v>
      </c>
      <c r="J15" s="298" t="s">
        <v>62</v>
      </c>
      <c r="K15" s="298" t="s">
        <v>72</v>
      </c>
      <c r="L15" s="298" t="s">
        <v>74</v>
      </c>
      <c r="M15" s="298" t="s">
        <v>76</v>
      </c>
      <c r="N15" s="298" t="s">
        <v>119</v>
      </c>
      <c r="O15" s="298" t="s">
        <v>71</v>
      </c>
      <c r="P15" s="298" t="s">
        <v>67</v>
      </c>
      <c r="Q15" s="322" t="s">
        <v>69</v>
      </c>
      <c r="R15" s="293">
        <f t="shared" si="0"/>
        <v>10</v>
      </c>
    </row>
    <row r="16" spans="1:21" s="185" customFormat="1" x14ac:dyDescent="0.35">
      <c r="B16" s="362" t="s">
        <v>380</v>
      </c>
      <c r="C16" s="321" t="s">
        <v>90</v>
      </c>
      <c r="D16" s="298" t="s">
        <v>34</v>
      </c>
      <c r="E16" s="298" t="s">
        <v>61</v>
      </c>
      <c r="F16" s="298" t="s">
        <v>64</v>
      </c>
      <c r="G16" s="298" t="s">
        <v>60</v>
      </c>
      <c r="H16" s="298" t="s">
        <v>89</v>
      </c>
      <c r="I16" s="298" t="s">
        <v>121</v>
      </c>
      <c r="J16" s="298" t="s">
        <v>75</v>
      </c>
      <c r="K16" s="298" t="s">
        <v>88</v>
      </c>
      <c r="L16" s="298" t="s">
        <v>74</v>
      </c>
      <c r="M16" s="298" t="s">
        <v>76</v>
      </c>
      <c r="N16" s="298" t="s">
        <v>73</v>
      </c>
      <c r="O16" s="298" t="s">
        <v>118</v>
      </c>
      <c r="P16" s="298" t="s">
        <v>67</v>
      </c>
      <c r="Q16" s="322" t="s">
        <v>69</v>
      </c>
      <c r="R16" s="293">
        <f t="shared" si="0"/>
        <v>12</v>
      </c>
    </row>
    <row r="17" spans="2:18" s="185" customFormat="1" x14ac:dyDescent="0.35">
      <c r="B17" s="362" t="s">
        <v>381</v>
      </c>
      <c r="C17" s="321" t="s">
        <v>388</v>
      </c>
      <c r="D17" s="298" t="s">
        <v>34</v>
      </c>
      <c r="E17" s="298" t="s">
        <v>61</v>
      </c>
      <c r="F17" s="298" t="s">
        <v>64</v>
      </c>
      <c r="G17" s="298" t="s">
        <v>58</v>
      </c>
      <c r="H17" s="298" t="s">
        <v>89</v>
      </c>
      <c r="I17" s="298" t="s">
        <v>91</v>
      </c>
      <c r="J17" s="298" t="s">
        <v>75</v>
      </c>
      <c r="K17" s="298" t="s">
        <v>88</v>
      </c>
      <c r="L17" s="298" t="s">
        <v>74</v>
      </c>
      <c r="M17" s="298" t="s">
        <v>76</v>
      </c>
      <c r="N17" s="298" t="s">
        <v>119</v>
      </c>
      <c r="O17" s="298" t="s">
        <v>118</v>
      </c>
      <c r="P17" s="298" t="s">
        <v>67</v>
      </c>
      <c r="Q17" s="322" t="s">
        <v>79</v>
      </c>
      <c r="R17" s="293">
        <f t="shared" si="0"/>
        <v>9</v>
      </c>
    </row>
    <row r="18" spans="2:18" s="185" customFormat="1" x14ac:dyDescent="0.35">
      <c r="B18" s="362" t="s">
        <v>387</v>
      </c>
      <c r="C18" s="321" t="s">
        <v>84</v>
      </c>
      <c r="D18" s="298" t="s">
        <v>420</v>
      </c>
      <c r="E18" s="298" t="s">
        <v>421</v>
      </c>
      <c r="F18" s="298" t="s">
        <v>422</v>
      </c>
      <c r="G18" s="298" t="s">
        <v>423</v>
      </c>
      <c r="H18" s="298" t="s">
        <v>424</v>
      </c>
      <c r="I18" s="298" t="s">
        <v>395</v>
      </c>
      <c r="J18" s="298" t="s">
        <v>80</v>
      </c>
      <c r="K18" s="298" t="s">
        <v>425</v>
      </c>
      <c r="L18" s="298" t="s">
        <v>78</v>
      </c>
      <c r="M18" s="298" t="s">
        <v>86</v>
      </c>
      <c r="N18" s="298" t="s">
        <v>426</v>
      </c>
      <c r="O18" s="298" t="s">
        <v>398</v>
      </c>
      <c r="P18" s="298" t="s">
        <v>83</v>
      </c>
      <c r="Q18" s="322" t="s">
        <v>85</v>
      </c>
      <c r="R18" s="293">
        <f t="shared" si="0"/>
        <v>11</v>
      </c>
    </row>
    <row r="19" spans="2:18" s="185" customFormat="1" ht="15" thickBot="1" x14ac:dyDescent="0.4">
      <c r="B19" s="5" t="s">
        <v>389</v>
      </c>
      <c r="C19" s="325" t="s">
        <v>90</v>
      </c>
      <c r="D19" s="326" t="s">
        <v>34</v>
      </c>
      <c r="E19" s="326" t="s">
        <v>61</v>
      </c>
      <c r="F19" s="326" t="s">
        <v>64</v>
      </c>
      <c r="G19" s="326" t="s">
        <v>58</v>
      </c>
      <c r="H19" s="326" t="s">
        <v>89</v>
      </c>
      <c r="I19" s="326" t="s">
        <v>91</v>
      </c>
      <c r="J19" s="326" t="s">
        <v>62</v>
      </c>
      <c r="K19" s="326" t="s">
        <v>72</v>
      </c>
      <c r="L19" s="326" t="s">
        <v>74</v>
      </c>
      <c r="M19" s="326" t="s">
        <v>76</v>
      </c>
      <c r="N19" s="326" t="s">
        <v>119</v>
      </c>
      <c r="O19" s="326" t="s">
        <v>71</v>
      </c>
      <c r="P19" s="326" t="s">
        <v>67</v>
      </c>
      <c r="Q19" s="327" t="s">
        <v>69</v>
      </c>
      <c r="R19" s="315">
        <f t="shared" si="0"/>
        <v>10</v>
      </c>
    </row>
    <row r="20" spans="2:18" ht="15.5" thickTop="1" thickBot="1" x14ac:dyDescent="0.4">
      <c r="B20" s="78" t="s">
        <v>183</v>
      </c>
      <c r="C20" s="181" t="s">
        <v>63</v>
      </c>
      <c r="D20" s="79" t="s">
        <v>120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316"/>
    </row>
    <row r="21" spans="2:18" ht="15" thickTop="1" x14ac:dyDescent="0.35"/>
    <row r="22" spans="2:18" ht="15" thickBot="1" x14ac:dyDescent="0.4"/>
    <row r="23" spans="2:18" ht="15.5" thickTop="1" thickBot="1" x14ac:dyDescent="0.4">
      <c r="B23" s="54" t="s">
        <v>0</v>
      </c>
      <c r="C23" s="90" t="s">
        <v>292</v>
      </c>
      <c r="D23" s="90" t="s">
        <v>293</v>
      </c>
      <c r="E23" s="90" t="s">
        <v>294</v>
      </c>
      <c r="F23" s="90" t="s">
        <v>295</v>
      </c>
      <c r="G23" s="90" t="s">
        <v>296</v>
      </c>
      <c r="H23" s="90" t="s">
        <v>297</v>
      </c>
      <c r="I23" s="90" t="s">
        <v>298</v>
      </c>
      <c r="J23" s="90" t="s">
        <v>299</v>
      </c>
      <c r="K23" s="90" t="s">
        <v>300</v>
      </c>
      <c r="L23" s="90" t="s">
        <v>301</v>
      </c>
      <c r="M23" s="90" t="s">
        <v>302</v>
      </c>
      <c r="N23" s="90" t="s">
        <v>303</v>
      </c>
      <c r="O23" s="90" t="s">
        <v>304</v>
      </c>
      <c r="P23" s="90" t="s">
        <v>305</v>
      </c>
      <c r="Q23" s="91" t="s">
        <v>306</v>
      </c>
    </row>
    <row r="24" spans="2:18" ht="15.5" thickTop="1" thickBot="1" x14ac:dyDescent="0.4">
      <c r="B24" s="49" t="s">
        <v>1</v>
      </c>
      <c r="C24" s="256" t="s">
        <v>115</v>
      </c>
      <c r="D24" s="256" t="s">
        <v>419</v>
      </c>
      <c r="E24" s="256" t="s">
        <v>113</v>
      </c>
      <c r="F24" s="256" t="s">
        <v>165</v>
      </c>
      <c r="G24" s="256" t="s">
        <v>23</v>
      </c>
      <c r="H24" s="256" t="s">
        <v>112</v>
      </c>
      <c r="I24" s="256" t="s">
        <v>23</v>
      </c>
      <c r="J24" s="256" t="s">
        <v>369</v>
      </c>
      <c r="K24" s="256" t="s">
        <v>111</v>
      </c>
      <c r="L24" s="256" t="s">
        <v>20</v>
      </c>
      <c r="M24" s="256" t="s">
        <v>165</v>
      </c>
      <c r="N24" s="256" t="s">
        <v>114</v>
      </c>
      <c r="O24" s="256" t="s">
        <v>111</v>
      </c>
      <c r="P24" s="256" t="s">
        <v>142</v>
      </c>
      <c r="Q24" s="257" t="s">
        <v>181</v>
      </c>
    </row>
    <row r="25" spans="2:18" ht="15.5" thickTop="1" thickBot="1" x14ac:dyDescent="0.4">
      <c r="B25" s="176" t="s">
        <v>3</v>
      </c>
      <c r="C25" s="268">
        <f>IF(C6="dal",1,"-")</f>
        <v>1</v>
      </c>
      <c r="D25" s="268">
        <f>IF(D6="den",1,"-")</f>
        <v>1</v>
      </c>
      <c r="E25" s="268" t="str">
        <f>IF(E6="det",1,"-")</f>
        <v>-</v>
      </c>
      <c r="F25" s="268">
        <f>IF(F6="gb",1,"-")</f>
        <v>1</v>
      </c>
      <c r="G25" s="268" t="str">
        <f>IF(G6="kc",1,"-")</f>
        <v>-</v>
      </c>
      <c r="H25" s="268">
        <f>IF(H6="ne",1,"-")</f>
        <v>1</v>
      </c>
      <c r="I25" s="268">
        <f>IF(I6="bal",1,"-")</f>
        <v>1</v>
      </c>
      <c r="J25" s="268">
        <f>IF(J6="cin",1,"-")</f>
        <v>1</v>
      </c>
      <c r="K25" s="268">
        <f>IF(K6="chi",1,"-")</f>
        <v>1</v>
      </c>
      <c r="L25" s="268">
        <f>IF(L6="oak",1,"-")</f>
        <v>1</v>
      </c>
      <c r="M25" s="268">
        <f>IF(M6="pit",1,"-")</f>
        <v>1</v>
      </c>
      <c r="N25" s="268" t="str">
        <f>IF(N6="tb",1,"-")</f>
        <v>-</v>
      </c>
      <c r="O25" s="268">
        <f>IF(O6="ari",1,"-")</f>
        <v>1</v>
      </c>
      <c r="P25" s="268">
        <f>IF(P6="sea",1,"-")</f>
        <v>1</v>
      </c>
      <c r="Q25" s="268" t="str">
        <f>IF(Q6="ind",1,"-")</f>
        <v>-</v>
      </c>
    </row>
    <row r="26" spans="2:18" ht="15.5" thickTop="1" thickBot="1" x14ac:dyDescent="0.4">
      <c r="B26" s="197" t="s">
        <v>29</v>
      </c>
      <c r="C26" s="268">
        <f t="shared" ref="C26:C38" si="1">IF(C7="dal",1,"-")</f>
        <v>1</v>
      </c>
      <c r="D26" s="268">
        <f t="shared" ref="D26:D38" si="2">IF(D7="den",1,"-")</f>
        <v>1</v>
      </c>
      <c r="E26" s="268" t="str">
        <f t="shared" ref="E26:E38" si="3">IF(E7="det",1,"-")</f>
        <v>-</v>
      </c>
      <c r="F26" s="268">
        <f t="shared" ref="F26:F38" si="4">IF(F7="gb",1,"-")</f>
        <v>1</v>
      </c>
      <c r="G26" s="268" t="str">
        <f t="shared" ref="G26:G38" si="5">IF(G7="kc",1,"-")</f>
        <v>-</v>
      </c>
      <c r="H26" s="268">
        <f t="shared" ref="H26:H38" si="6">IF(H7="ne",1,"-")</f>
        <v>1</v>
      </c>
      <c r="I26" s="268">
        <f t="shared" ref="I26:I38" si="7">IF(I7="bal",1,"-")</f>
        <v>1</v>
      </c>
      <c r="J26" s="268">
        <f t="shared" ref="J26:J38" si="8">IF(J7="cin",1,"-")</f>
        <v>1</v>
      </c>
      <c r="K26" s="268" t="str">
        <f t="shared" ref="K26:K38" si="9">IF(K7="chi",1,"-")</f>
        <v>-</v>
      </c>
      <c r="L26" s="268">
        <f t="shared" ref="L26:L38" si="10">IF(L7="oak",1,"-")</f>
        <v>1</v>
      </c>
      <c r="M26" s="268">
        <f t="shared" ref="M26:M38" si="11">IF(M7="pit",1,"-")</f>
        <v>1</v>
      </c>
      <c r="N26" s="268">
        <f t="shared" ref="N26:N38" si="12">IF(N7="tb",1,"-")</f>
        <v>1</v>
      </c>
      <c r="O26" s="268" t="str">
        <f t="shared" ref="O26:O38" si="13">IF(O7="ari",1,"-")</f>
        <v>-</v>
      </c>
      <c r="P26" s="268">
        <f t="shared" ref="P26:P38" si="14">IF(P7="sea",1,"-")</f>
        <v>1</v>
      </c>
      <c r="Q26" s="268">
        <f t="shared" ref="Q26:Q38" si="15">IF(Q7="ind",1,"-")</f>
        <v>1</v>
      </c>
    </row>
    <row r="27" spans="2:18" ht="15.5" thickTop="1" thickBot="1" x14ac:dyDescent="0.4">
      <c r="B27" s="196" t="s">
        <v>30</v>
      </c>
      <c r="C27" s="268">
        <f t="shared" si="1"/>
        <v>1</v>
      </c>
      <c r="D27" s="268">
        <f t="shared" si="2"/>
        <v>1</v>
      </c>
      <c r="E27" s="268" t="str">
        <f t="shared" si="3"/>
        <v>-</v>
      </c>
      <c r="F27" s="268">
        <f t="shared" si="4"/>
        <v>1</v>
      </c>
      <c r="G27" s="268" t="str">
        <f t="shared" si="5"/>
        <v>-</v>
      </c>
      <c r="H27" s="268">
        <f t="shared" si="6"/>
        <v>1</v>
      </c>
      <c r="I27" s="268" t="str">
        <f t="shared" si="7"/>
        <v>-</v>
      </c>
      <c r="J27" s="268" t="str">
        <f t="shared" si="8"/>
        <v>-</v>
      </c>
      <c r="K27" s="268" t="str">
        <f t="shared" si="9"/>
        <v>-</v>
      </c>
      <c r="L27" s="268" t="str">
        <f t="shared" si="10"/>
        <v>-</v>
      </c>
      <c r="M27" s="268">
        <f t="shared" si="11"/>
        <v>1</v>
      </c>
      <c r="N27" s="268" t="str">
        <f t="shared" si="12"/>
        <v>-</v>
      </c>
      <c r="O27" s="268">
        <f t="shared" si="13"/>
        <v>1</v>
      </c>
      <c r="P27" s="268">
        <f t="shared" si="14"/>
        <v>1</v>
      </c>
      <c r="Q27" s="268">
        <f t="shared" si="15"/>
        <v>1</v>
      </c>
    </row>
    <row r="28" spans="2:18" ht="15.5" thickTop="1" thickBot="1" x14ac:dyDescent="0.4">
      <c r="B28" s="197" t="s">
        <v>31</v>
      </c>
      <c r="C28" s="268">
        <f t="shared" si="1"/>
        <v>1</v>
      </c>
      <c r="D28" s="268">
        <f t="shared" si="2"/>
        <v>1</v>
      </c>
      <c r="E28" s="268" t="str">
        <f t="shared" si="3"/>
        <v>-</v>
      </c>
      <c r="F28" s="268">
        <f t="shared" si="4"/>
        <v>1</v>
      </c>
      <c r="G28" s="268">
        <f t="shared" si="5"/>
        <v>1</v>
      </c>
      <c r="H28" s="268">
        <f t="shared" si="6"/>
        <v>1</v>
      </c>
      <c r="I28" s="268">
        <f t="shared" si="7"/>
        <v>1</v>
      </c>
      <c r="J28" s="268">
        <f t="shared" si="8"/>
        <v>1</v>
      </c>
      <c r="K28" s="268">
        <f t="shared" si="9"/>
        <v>1</v>
      </c>
      <c r="L28" s="268">
        <f t="shared" si="10"/>
        <v>1</v>
      </c>
      <c r="M28" s="268" t="str">
        <f t="shared" si="11"/>
        <v>-</v>
      </c>
      <c r="N28" s="268" t="str">
        <f t="shared" si="12"/>
        <v>-</v>
      </c>
      <c r="O28" s="268">
        <f t="shared" si="13"/>
        <v>1</v>
      </c>
      <c r="P28" s="268">
        <f t="shared" si="14"/>
        <v>1</v>
      </c>
      <c r="Q28" s="268">
        <f t="shared" si="15"/>
        <v>1</v>
      </c>
    </row>
    <row r="29" spans="2:18" ht="15.5" thickTop="1" thickBot="1" x14ac:dyDescent="0.4">
      <c r="B29" s="196" t="s">
        <v>32</v>
      </c>
      <c r="C29" s="268">
        <f t="shared" si="1"/>
        <v>1</v>
      </c>
      <c r="D29" s="268">
        <f t="shared" si="2"/>
        <v>1</v>
      </c>
      <c r="E29" s="268">
        <f t="shared" si="3"/>
        <v>1</v>
      </c>
      <c r="F29" s="268">
        <f t="shared" si="4"/>
        <v>1</v>
      </c>
      <c r="G29" s="268">
        <f t="shared" si="5"/>
        <v>1</v>
      </c>
      <c r="H29" s="268">
        <f t="shared" si="6"/>
        <v>1</v>
      </c>
      <c r="I29" s="268">
        <f t="shared" si="7"/>
        <v>1</v>
      </c>
      <c r="J29" s="268">
        <f t="shared" si="8"/>
        <v>1</v>
      </c>
      <c r="K29" s="268">
        <f t="shared" si="9"/>
        <v>1</v>
      </c>
      <c r="L29" s="268">
        <f t="shared" si="10"/>
        <v>1</v>
      </c>
      <c r="M29" s="268">
        <f t="shared" si="11"/>
        <v>1</v>
      </c>
      <c r="N29" s="268" t="str">
        <f t="shared" si="12"/>
        <v>-</v>
      </c>
      <c r="O29" s="268">
        <f t="shared" si="13"/>
        <v>1</v>
      </c>
      <c r="P29" s="268">
        <f t="shared" si="14"/>
        <v>1</v>
      </c>
      <c r="Q29" s="268">
        <f t="shared" si="15"/>
        <v>1</v>
      </c>
    </row>
    <row r="30" spans="2:18" ht="15.5" thickTop="1" thickBot="1" x14ac:dyDescent="0.4">
      <c r="B30" s="197" t="s">
        <v>35</v>
      </c>
      <c r="C30" s="268">
        <f t="shared" si="1"/>
        <v>1</v>
      </c>
      <c r="D30" s="268">
        <f t="shared" si="2"/>
        <v>1</v>
      </c>
      <c r="E30" s="268">
        <f t="shared" si="3"/>
        <v>1</v>
      </c>
      <c r="F30" s="268">
        <f t="shared" si="4"/>
        <v>1</v>
      </c>
      <c r="G30" s="268">
        <f t="shared" si="5"/>
        <v>1</v>
      </c>
      <c r="H30" s="268">
        <f t="shared" si="6"/>
        <v>1</v>
      </c>
      <c r="I30" s="268">
        <f t="shared" si="7"/>
        <v>1</v>
      </c>
      <c r="J30" s="268" t="str">
        <f t="shared" si="8"/>
        <v>-</v>
      </c>
      <c r="K30" s="268" t="str">
        <f t="shared" si="9"/>
        <v>-</v>
      </c>
      <c r="L30" s="268">
        <f t="shared" si="10"/>
        <v>1</v>
      </c>
      <c r="M30" s="268">
        <f t="shared" si="11"/>
        <v>1</v>
      </c>
      <c r="N30" s="268" t="str">
        <f t="shared" si="12"/>
        <v>-</v>
      </c>
      <c r="O30" s="268" t="str">
        <f t="shared" si="13"/>
        <v>-</v>
      </c>
      <c r="P30" s="268">
        <f t="shared" si="14"/>
        <v>1</v>
      </c>
      <c r="Q30" s="268">
        <f t="shared" si="15"/>
        <v>1</v>
      </c>
    </row>
    <row r="31" spans="2:18" ht="15.5" thickTop="1" thickBot="1" x14ac:dyDescent="0.4">
      <c r="B31" s="196" t="s">
        <v>36</v>
      </c>
      <c r="C31" s="268">
        <f t="shared" si="1"/>
        <v>1</v>
      </c>
      <c r="D31" s="268">
        <f t="shared" si="2"/>
        <v>1</v>
      </c>
      <c r="E31" s="268" t="str">
        <f t="shared" si="3"/>
        <v>-</v>
      </c>
      <c r="F31" s="268">
        <f t="shared" si="4"/>
        <v>1</v>
      </c>
      <c r="G31" s="268" t="str">
        <f t="shared" si="5"/>
        <v>-</v>
      </c>
      <c r="H31" s="268">
        <f t="shared" si="6"/>
        <v>1</v>
      </c>
      <c r="I31" s="268">
        <f t="shared" si="7"/>
        <v>1</v>
      </c>
      <c r="J31" s="268" t="str">
        <f t="shared" si="8"/>
        <v>-</v>
      </c>
      <c r="K31" s="268">
        <f t="shared" si="9"/>
        <v>1</v>
      </c>
      <c r="L31" s="268">
        <f t="shared" si="10"/>
        <v>1</v>
      </c>
      <c r="M31" s="268">
        <f t="shared" si="11"/>
        <v>1</v>
      </c>
      <c r="N31" s="268" t="str">
        <f t="shared" si="12"/>
        <v>-</v>
      </c>
      <c r="O31" s="268" t="str">
        <f t="shared" si="13"/>
        <v>-</v>
      </c>
      <c r="P31" s="268">
        <f t="shared" si="14"/>
        <v>1</v>
      </c>
      <c r="Q31" s="268">
        <f t="shared" si="15"/>
        <v>1</v>
      </c>
    </row>
    <row r="32" spans="2:18" ht="15.5" thickTop="1" thickBot="1" x14ac:dyDescent="0.4">
      <c r="B32" s="197" t="s">
        <v>37</v>
      </c>
      <c r="C32" s="268">
        <f t="shared" si="1"/>
        <v>1</v>
      </c>
      <c r="D32" s="268">
        <f t="shared" si="2"/>
        <v>1</v>
      </c>
      <c r="E32" s="268">
        <f t="shared" si="3"/>
        <v>1</v>
      </c>
      <c r="F32" s="268">
        <f t="shared" si="4"/>
        <v>1</v>
      </c>
      <c r="G32" s="268">
        <f t="shared" si="5"/>
        <v>1</v>
      </c>
      <c r="H32" s="268">
        <f t="shared" si="6"/>
        <v>1</v>
      </c>
      <c r="I32" s="268" t="str">
        <f t="shared" si="7"/>
        <v>-</v>
      </c>
      <c r="J32" s="268" t="str">
        <f t="shared" si="8"/>
        <v>-</v>
      </c>
      <c r="K32" s="268">
        <f t="shared" si="9"/>
        <v>1</v>
      </c>
      <c r="L32" s="268">
        <f t="shared" si="10"/>
        <v>1</v>
      </c>
      <c r="M32" s="268">
        <f t="shared" si="11"/>
        <v>1</v>
      </c>
      <c r="N32" s="268" t="str">
        <f t="shared" si="12"/>
        <v>-</v>
      </c>
      <c r="O32" s="268" t="str">
        <f t="shared" si="13"/>
        <v>-</v>
      </c>
      <c r="P32" s="268">
        <f t="shared" si="14"/>
        <v>1</v>
      </c>
      <c r="Q32" s="268">
        <f t="shared" si="15"/>
        <v>1</v>
      </c>
    </row>
    <row r="33" spans="2:17" ht="15.5" thickTop="1" thickBot="1" x14ac:dyDescent="0.4">
      <c r="B33" s="196" t="s">
        <v>57</v>
      </c>
      <c r="C33" s="268">
        <f t="shared" si="1"/>
        <v>1</v>
      </c>
      <c r="D33" s="268">
        <f t="shared" si="2"/>
        <v>1</v>
      </c>
      <c r="E33" s="268">
        <f t="shared" si="3"/>
        <v>1</v>
      </c>
      <c r="F33" s="268">
        <f t="shared" si="4"/>
        <v>1</v>
      </c>
      <c r="G33" s="268">
        <f t="shared" si="5"/>
        <v>1</v>
      </c>
      <c r="H33" s="268">
        <f t="shared" si="6"/>
        <v>1</v>
      </c>
      <c r="I33" s="268">
        <f t="shared" si="7"/>
        <v>1</v>
      </c>
      <c r="J33" s="268" t="str">
        <f t="shared" si="8"/>
        <v>-</v>
      </c>
      <c r="K33" s="268">
        <f t="shared" si="9"/>
        <v>1</v>
      </c>
      <c r="L33" s="268">
        <f t="shared" si="10"/>
        <v>1</v>
      </c>
      <c r="M33" s="268">
        <f t="shared" si="11"/>
        <v>1</v>
      </c>
      <c r="N33" s="268">
        <f t="shared" si="12"/>
        <v>1</v>
      </c>
      <c r="O33" s="268" t="str">
        <f t="shared" si="13"/>
        <v>-</v>
      </c>
      <c r="P33" s="268">
        <f t="shared" si="14"/>
        <v>1</v>
      </c>
      <c r="Q33" s="268">
        <f t="shared" si="15"/>
        <v>1</v>
      </c>
    </row>
    <row r="34" spans="2:17" ht="15.5" thickTop="1" thickBot="1" x14ac:dyDescent="0.4">
      <c r="B34" s="197" t="s">
        <v>379</v>
      </c>
      <c r="C34" s="268">
        <f t="shared" si="1"/>
        <v>1</v>
      </c>
      <c r="D34" s="268">
        <f t="shared" si="2"/>
        <v>1</v>
      </c>
      <c r="E34" s="268" t="str">
        <f t="shared" si="3"/>
        <v>-</v>
      </c>
      <c r="F34" s="268">
        <f t="shared" si="4"/>
        <v>1</v>
      </c>
      <c r="G34" s="268">
        <f t="shared" si="5"/>
        <v>1</v>
      </c>
      <c r="H34" s="268">
        <f t="shared" si="6"/>
        <v>1</v>
      </c>
      <c r="I34" s="268" t="str">
        <f t="shared" si="7"/>
        <v>-</v>
      </c>
      <c r="J34" s="268">
        <f t="shared" si="8"/>
        <v>1</v>
      </c>
      <c r="K34" s="268" t="str">
        <f t="shared" si="9"/>
        <v>-</v>
      </c>
      <c r="L34" s="268">
        <f t="shared" si="10"/>
        <v>1</v>
      </c>
      <c r="M34" s="268">
        <f t="shared" si="11"/>
        <v>1</v>
      </c>
      <c r="N34" s="268" t="str">
        <f t="shared" si="12"/>
        <v>-</v>
      </c>
      <c r="O34" s="268" t="str">
        <f t="shared" si="13"/>
        <v>-</v>
      </c>
      <c r="P34" s="268">
        <f t="shared" si="14"/>
        <v>1</v>
      </c>
      <c r="Q34" s="268">
        <f t="shared" si="15"/>
        <v>1</v>
      </c>
    </row>
    <row r="35" spans="2:17" ht="15.5" thickTop="1" thickBot="1" x14ac:dyDescent="0.4">
      <c r="B35" s="196" t="s">
        <v>380</v>
      </c>
      <c r="C35" s="268">
        <f t="shared" si="1"/>
        <v>1</v>
      </c>
      <c r="D35" s="268">
        <f t="shared" si="2"/>
        <v>1</v>
      </c>
      <c r="E35" s="268" t="str">
        <f t="shared" si="3"/>
        <v>-</v>
      </c>
      <c r="F35" s="268">
        <f t="shared" si="4"/>
        <v>1</v>
      </c>
      <c r="G35" s="268">
        <f t="shared" si="5"/>
        <v>1</v>
      </c>
      <c r="H35" s="268">
        <f t="shared" si="6"/>
        <v>1</v>
      </c>
      <c r="I35" s="268" t="str">
        <f t="shared" si="7"/>
        <v>-</v>
      </c>
      <c r="J35" s="268" t="str">
        <f t="shared" si="8"/>
        <v>-</v>
      </c>
      <c r="K35" s="268">
        <f t="shared" si="9"/>
        <v>1</v>
      </c>
      <c r="L35" s="268">
        <f t="shared" si="10"/>
        <v>1</v>
      </c>
      <c r="M35" s="268">
        <f t="shared" si="11"/>
        <v>1</v>
      </c>
      <c r="N35" s="268">
        <f t="shared" si="12"/>
        <v>1</v>
      </c>
      <c r="O35" s="268">
        <f t="shared" si="13"/>
        <v>1</v>
      </c>
      <c r="P35" s="268">
        <f t="shared" si="14"/>
        <v>1</v>
      </c>
      <c r="Q35" s="268">
        <f t="shared" si="15"/>
        <v>1</v>
      </c>
    </row>
    <row r="36" spans="2:17" ht="15.5" thickTop="1" thickBot="1" x14ac:dyDescent="0.4">
      <c r="B36" s="197" t="s">
        <v>381</v>
      </c>
      <c r="C36" s="268" t="str">
        <f t="shared" si="1"/>
        <v>-</v>
      </c>
      <c r="D36" s="268">
        <f t="shared" si="2"/>
        <v>1</v>
      </c>
      <c r="E36" s="268" t="str">
        <f t="shared" si="3"/>
        <v>-</v>
      </c>
      <c r="F36" s="268">
        <f t="shared" si="4"/>
        <v>1</v>
      </c>
      <c r="G36" s="268" t="str">
        <f t="shared" si="5"/>
        <v>-</v>
      </c>
      <c r="H36" s="268">
        <f t="shared" si="6"/>
        <v>1</v>
      </c>
      <c r="I36" s="268">
        <f t="shared" si="7"/>
        <v>1</v>
      </c>
      <c r="J36" s="268" t="str">
        <f t="shared" si="8"/>
        <v>-</v>
      </c>
      <c r="K36" s="268">
        <f t="shared" si="9"/>
        <v>1</v>
      </c>
      <c r="L36" s="268">
        <f t="shared" si="10"/>
        <v>1</v>
      </c>
      <c r="M36" s="268">
        <f t="shared" si="11"/>
        <v>1</v>
      </c>
      <c r="N36" s="268" t="str">
        <f t="shared" si="12"/>
        <v>-</v>
      </c>
      <c r="O36" s="268">
        <f t="shared" si="13"/>
        <v>1</v>
      </c>
      <c r="P36" s="268">
        <f t="shared" si="14"/>
        <v>1</v>
      </c>
      <c r="Q36" s="268" t="str">
        <f t="shared" si="15"/>
        <v>-</v>
      </c>
    </row>
    <row r="37" spans="2:17" ht="15.5" thickTop="1" thickBot="1" x14ac:dyDescent="0.4">
      <c r="B37" s="196" t="s">
        <v>387</v>
      </c>
      <c r="C37" s="268">
        <f t="shared" si="1"/>
        <v>1</v>
      </c>
      <c r="D37" s="268">
        <f t="shared" si="2"/>
        <v>1</v>
      </c>
      <c r="E37" s="268" t="str">
        <f t="shared" si="3"/>
        <v>-</v>
      </c>
      <c r="F37" s="268">
        <f t="shared" si="4"/>
        <v>1</v>
      </c>
      <c r="G37" s="268">
        <f t="shared" si="5"/>
        <v>1</v>
      </c>
      <c r="H37" s="268">
        <f t="shared" si="6"/>
        <v>1</v>
      </c>
      <c r="I37" s="268">
        <f t="shared" si="7"/>
        <v>1</v>
      </c>
      <c r="J37" s="268" t="str">
        <f t="shared" si="8"/>
        <v>-</v>
      </c>
      <c r="K37" s="268" t="str">
        <f t="shared" si="9"/>
        <v>-</v>
      </c>
      <c r="L37" s="268">
        <f t="shared" si="10"/>
        <v>1</v>
      </c>
      <c r="M37" s="268">
        <f t="shared" si="11"/>
        <v>1</v>
      </c>
      <c r="N37" s="268" t="str">
        <f t="shared" si="12"/>
        <v>-</v>
      </c>
      <c r="O37" s="268">
        <f t="shared" si="13"/>
        <v>1</v>
      </c>
      <c r="P37" s="268">
        <f t="shared" si="14"/>
        <v>1</v>
      </c>
      <c r="Q37" s="268">
        <f t="shared" si="15"/>
        <v>1</v>
      </c>
    </row>
    <row r="38" spans="2:17" ht="15.5" thickTop="1" thickBot="1" x14ac:dyDescent="0.4">
      <c r="B38" s="204" t="s">
        <v>389</v>
      </c>
      <c r="C38" s="268">
        <f t="shared" si="1"/>
        <v>1</v>
      </c>
      <c r="D38" s="268">
        <f t="shared" si="2"/>
        <v>1</v>
      </c>
      <c r="E38" s="268" t="str">
        <f t="shared" si="3"/>
        <v>-</v>
      </c>
      <c r="F38" s="268">
        <f t="shared" si="4"/>
        <v>1</v>
      </c>
      <c r="G38" s="268" t="str">
        <f t="shared" si="5"/>
        <v>-</v>
      </c>
      <c r="H38" s="268">
        <f t="shared" si="6"/>
        <v>1</v>
      </c>
      <c r="I38" s="268">
        <f t="shared" si="7"/>
        <v>1</v>
      </c>
      <c r="J38" s="268">
        <f t="shared" si="8"/>
        <v>1</v>
      </c>
      <c r="K38" s="268" t="str">
        <f t="shared" si="9"/>
        <v>-</v>
      </c>
      <c r="L38" s="268">
        <f t="shared" si="10"/>
        <v>1</v>
      </c>
      <c r="M38" s="268">
        <f t="shared" si="11"/>
        <v>1</v>
      </c>
      <c r="N38" s="268" t="str">
        <f t="shared" si="12"/>
        <v>-</v>
      </c>
      <c r="O38" s="268" t="str">
        <f t="shared" si="13"/>
        <v>-</v>
      </c>
      <c r="P38" s="268">
        <f t="shared" si="14"/>
        <v>1</v>
      </c>
      <c r="Q38" s="268">
        <f t="shared" si="15"/>
        <v>1</v>
      </c>
    </row>
    <row r="39" spans="2:17" ht="15" thickTop="1" x14ac:dyDescent="0.35"/>
  </sheetData>
  <mergeCells count="1">
    <mergeCell ref="R4:R5"/>
  </mergeCells>
  <conditionalFormatting sqref="A4:A20 S4:XFD20 A21:Q22 R21:XFD1048576 A39:Q1048576 A23:A38 A1:XFD3">
    <cfRule type="cellIs" dxfId="2267" priority="387" operator="equal">
      <formula>"PHI"</formula>
    </cfRule>
    <cfRule type="cellIs" dxfId="2266" priority="388" operator="equal">
      <formula>"GB"</formula>
    </cfRule>
    <cfRule type="cellIs" dxfId="2265" priority="389" operator="equal">
      <formula>"MIN"</formula>
    </cfRule>
    <cfRule type="cellIs" dxfId="2264" priority="390" operator="equal">
      <formula>"NYG"</formula>
    </cfRule>
    <cfRule type="cellIs" dxfId="2263" priority="391" operator="equal">
      <formula>"PIT"</formula>
    </cfRule>
    <cfRule type="cellIs" dxfId="2262" priority="392" operator="equal">
      <formula>"KC"</formula>
    </cfRule>
    <cfRule type="cellIs" dxfId="2261" priority="393" operator="equal">
      <formula>"ARI"</formula>
    </cfRule>
    <cfRule type="cellIs" dxfId="2260" priority="394" operator="equal">
      <formula>"LA"</formula>
    </cfRule>
    <cfRule type="cellIs" dxfId="2259" priority="395" operator="equal">
      <formula>"SD"</formula>
    </cfRule>
    <cfRule type="cellIs" dxfId="2258" priority="396" operator="equal">
      <formula>"NO"</formula>
    </cfRule>
    <cfRule type="cellIs" dxfId="2257" priority="397" operator="equal">
      <formula>"SF"</formula>
    </cfRule>
    <cfRule type="cellIs" dxfId="2256" priority="398" operator="equal">
      <formula>"DAL"</formula>
    </cfRule>
    <cfRule type="cellIs" dxfId="2255" priority="399" operator="equal">
      <formula>"TB"</formula>
    </cfRule>
    <cfRule type="cellIs" dxfId="2254" priority="400" operator="equal">
      <formula>"DEN"</formula>
    </cfRule>
    <cfRule type="cellIs" dxfId="2253" priority="401" operator="equal">
      <formula>"BAL"</formula>
    </cfRule>
    <cfRule type="cellIs" dxfId="2252" priority="402" operator="equal">
      <formula>"OAK"</formula>
    </cfRule>
    <cfRule type="cellIs" dxfId="2251" priority="403" operator="equal">
      <formula>"HOU"</formula>
    </cfRule>
    <cfRule type="cellIs" dxfId="2250" priority="404" operator="equal">
      <formula>"TEN"</formula>
    </cfRule>
    <cfRule type="cellIs" dxfId="2249" priority="405" operator="equal">
      <formula>"CHI"</formula>
    </cfRule>
    <cfRule type="cellIs" dxfId="2248" priority="406" operator="equal">
      <formula>"DET"</formula>
    </cfRule>
    <cfRule type="cellIs" dxfId="2247" priority="407" operator="equal">
      <formula>"ATL"</formula>
    </cfRule>
    <cfRule type="cellIs" dxfId="2246" priority="408" operator="equal">
      <formula>"CAR"</formula>
    </cfRule>
    <cfRule type="cellIs" dxfId="2245" priority="409" operator="equal">
      <formula>"IND"</formula>
    </cfRule>
    <cfRule type="cellIs" dxfId="2244" priority="410" operator="equal">
      <formula>"JAX"</formula>
    </cfRule>
    <cfRule type="cellIs" dxfId="2243" priority="411" operator="equal">
      <formula>"NYJ"</formula>
    </cfRule>
    <cfRule type="cellIs" dxfId="2242" priority="412" operator="equal">
      <formula>"SEA"</formula>
    </cfRule>
    <cfRule type="cellIs" dxfId="2241" priority="413" operator="equal">
      <formula>"NE"</formula>
    </cfRule>
    <cfRule type="cellIs" dxfId="2240" priority="414" operator="equal">
      <formula>"BUF"</formula>
    </cfRule>
    <cfRule type="cellIs" dxfId="2239" priority="415" operator="equal">
      <formula>"WAS"</formula>
    </cfRule>
    <cfRule type="cellIs" dxfId="2238" priority="416" operator="equal">
      <formula>"CLE"</formula>
    </cfRule>
    <cfRule type="cellIs" dxfId="2237" priority="417" operator="equal">
      <formula>"CIN"</formula>
    </cfRule>
    <cfRule type="cellIs" dxfId="2236" priority="418" operator="equal">
      <formula>"MIA"</formula>
    </cfRule>
  </conditionalFormatting>
  <conditionalFormatting sqref="B23">
    <cfRule type="cellIs" dxfId="2235" priority="323" operator="equal">
      <formula>"PHI"</formula>
    </cfRule>
    <cfRule type="cellIs" dxfId="2234" priority="324" operator="equal">
      <formula>"GB"</formula>
    </cfRule>
    <cfRule type="cellIs" dxfId="2233" priority="325" operator="equal">
      <formula>"MIN"</formula>
    </cfRule>
    <cfRule type="cellIs" dxfId="2232" priority="326" operator="equal">
      <formula>"NYG"</formula>
    </cfRule>
    <cfRule type="cellIs" dxfId="2231" priority="327" operator="equal">
      <formula>"PIT"</formula>
    </cfRule>
    <cfRule type="cellIs" dxfId="2230" priority="328" operator="equal">
      <formula>"KC"</formula>
    </cfRule>
    <cfRule type="cellIs" dxfId="2229" priority="329" operator="equal">
      <formula>"ARI"</formula>
    </cfRule>
    <cfRule type="cellIs" dxfId="2228" priority="330" operator="equal">
      <formula>"LA"</formula>
    </cfRule>
    <cfRule type="cellIs" dxfId="2227" priority="331" operator="equal">
      <formula>"SD"</formula>
    </cfRule>
    <cfRule type="cellIs" dxfId="2226" priority="332" operator="equal">
      <formula>"NO"</formula>
    </cfRule>
    <cfRule type="cellIs" dxfId="2225" priority="333" operator="equal">
      <formula>"SF"</formula>
    </cfRule>
    <cfRule type="cellIs" dxfId="2224" priority="334" operator="equal">
      <formula>"DAL"</formula>
    </cfRule>
    <cfRule type="cellIs" dxfId="2223" priority="335" operator="equal">
      <formula>"TB"</formula>
    </cfRule>
    <cfRule type="cellIs" dxfId="2222" priority="336" operator="equal">
      <formula>"DEN"</formula>
    </cfRule>
    <cfRule type="cellIs" dxfId="2221" priority="337" operator="equal">
      <formula>"BAL"</formula>
    </cfRule>
    <cfRule type="cellIs" dxfId="2220" priority="338" operator="equal">
      <formula>"OAK"</formula>
    </cfRule>
    <cfRule type="cellIs" dxfId="2219" priority="339" operator="equal">
      <formula>"HOU"</formula>
    </cfRule>
    <cfRule type="cellIs" dxfId="2218" priority="340" operator="equal">
      <formula>"TEN"</formula>
    </cfRule>
    <cfRule type="cellIs" dxfId="2217" priority="341" operator="equal">
      <formula>"CHI"</formula>
    </cfRule>
    <cfRule type="cellIs" dxfId="2216" priority="342" operator="equal">
      <formula>"DET"</formula>
    </cfRule>
    <cfRule type="cellIs" dxfId="2215" priority="343" operator="equal">
      <formula>"ATL"</formula>
    </cfRule>
    <cfRule type="cellIs" dxfId="2214" priority="344" operator="equal">
      <formula>"CAR"</formula>
    </cfRule>
    <cfRule type="cellIs" dxfId="2213" priority="345" operator="equal">
      <formula>"IND"</formula>
    </cfRule>
    <cfRule type="cellIs" dxfId="2212" priority="346" operator="equal">
      <formula>"JAX"</formula>
    </cfRule>
    <cfRule type="cellIs" dxfId="2211" priority="347" operator="equal">
      <formula>"NYJ"</formula>
    </cfRule>
    <cfRule type="cellIs" dxfId="2210" priority="348" operator="equal">
      <formula>"SEA"</formula>
    </cfRule>
    <cfRule type="cellIs" dxfId="2209" priority="349" operator="equal">
      <formula>"NE"</formula>
    </cfRule>
    <cfRule type="cellIs" dxfId="2208" priority="350" operator="equal">
      <formula>"BUF"</formula>
    </cfRule>
    <cfRule type="cellIs" dxfId="2207" priority="351" operator="equal">
      <formula>"WAS"</formula>
    </cfRule>
    <cfRule type="cellIs" dxfId="2206" priority="352" operator="equal">
      <formula>"CLE"</formula>
    </cfRule>
    <cfRule type="cellIs" dxfId="2205" priority="353" operator="equal">
      <formula>"CIN"</formula>
    </cfRule>
    <cfRule type="cellIs" dxfId="2204" priority="354" operator="equal">
      <formula>"MIA"</formula>
    </cfRule>
  </conditionalFormatting>
  <conditionalFormatting sqref="C20:P20">
    <cfRule type="cellIs" dxfId="2203" priority="194" operator="equal">
      <formula>"PHI"</formula>
    </cfRule>
    <cfRule type="cellIs" dxfId="2202" priority="195" operator="equal">
      <formula>"GB"</formula>
    </cfRule>
    <cfRule type="cellIs" dxfId="2201" priority="196" operator="equal">
      <formula>"MIN"</formula>
    </cfRule>
    <cfRule type="cellIs" dxfId="2200" priority="197" operator="equal">
      <formula>"NYG"</formula>
    </cfRule>
    <cfRule type="cellIs" dxfId="2199" priority="198" operator="equal">
      <formula>"PIT"</formula>
    </cfRule>
    <cfRule type="cellIs" dxfId="2198" priority="199" operator="equal">
      <formula>"KC"</formula>
    </cfRule>
    <cfRule type="cellIs" dxfId="2197" priority="200" operator="equal">
      <formula>"ARI"</formula>
    </cfRule>
    <cfRule type="cellIs" dxfId="2196" priority="201" operator="equal">
      <formula>"LA"</formula>
    </cfRule>
    <cfRule type="cellIs" dxfId="2195" priority="202" operator="equal">
      <formula>"SD"</formula>
    </cfRule>
    <cfRule type="cellIs" dxfId="2194" priority="203" operator="equal">
      <formula>"NO"</formula>
    </cfRule>
    <cfRule type="cellIs" dxfId="2193" priority="204" operator="equal">
      <formula>"SF"</formula>
    </cfRule>
    <cfRule type="cellIs" dxfId="2192" priority="205" operator="equal">
      <formula>"DAL"</formula>
    </cfRule>
    <cfRule type="cellIs" dxfId="2191" priority="206" operator="equal">
      <formula>"TB"</formula>
    </cfRule>
    <cfRule type="cellIs" dxfId="2190" priority="207" operator="equal">
      <formula>"DEN"</formula>
    </cfRule>
    <cfRule type="cellIs" dxfId="2189" priority="208" operator="equal">
      <formula>"BAL"</formula>
    </cfRule>
    <cfRule type="cellIs" dxfId="2188" priority="209" operator="equal">
      <formula>"OAK"</formula>
    </cfRule>
    <cfRule type="cellIs" dxfId="2187" priority="210" operator="equal">
      <formula>"HOU"</formula>
    </cfRule>
    <cfRule type="cellIs" dxfId="2186" priority="211" operator="equal">
      <formula>"TEN"</formula>
    </cfRule>
    <cfRule type="cellIs" dxfId="2185" priority="212" operator="equal">
      <formula>"CHI"</formula>
    </cfRule>
    <cfRule type="cellIs" dxfId="2184" priority="213" operator="equal">
      <formula>"DET"</formula>
    </cfRule>
    <cfRule type="cellIs" dxfId="2183" priority="214" operator="equal">
      <formula>"ATL"</formula>
    </cfRule>
    <cfRule type="cellIs" dxfId="2182" priority="215" operator="equal">
      <formula>"CAR"</formula>
    </cfRule>
    <cfRule type="cellIs" dxfId="2181" priority="216" operator="equal">
      <formula>"IND"</formula>
    </cfRule>
    <cfRule type="cellIs" dxfId="2180" priority="217" operator="equal">
      <formula>"JAX"</formula>
    </cfRule>
    <cfRule type="cellIs" dxfId="2179" priority="218" operator="equal">
      <formula>"NYJ"</formula>
    </cfRule>
    <cfRule type="cellIs" dxfId="2178" priority="219" operator="equal">
      <formula>"SEA"</formula>
    </cfRule>
    <cfRule type="cellIs" dxfId="2177" priority="220" operator="equal">
      <formula>"NE"</formula>
    </cfRule>
    <cfRule type="cellIs" dxfId="2176" priority="221" operator="equal">
      <formula>"BUF"</formula>
    </cfRule>
    <cfRule type="cellIs" dxfId="2175" priority="222" operator="equal">
      <formula>"WAS"</formula>
    </cfRule>
    <cfRule type="cellIs" dxfId="2174" priority="223" operator="equal">
      <formula>"CLE"</formula>
    </cfRule>
    <cfRule type="cellIs" dxfId="2173" priority="224" operator="equal">
      <formula>"CIN"</formula>
    </cfRule>
    <cfRule type="cellIs" dxfId="2172" priority="225" operator="equal">
      <formula>"MIA"</formula>
    </cfRule>
  </conditionalFormatting>
  <conditionalFormatting sqref="R20">
    <cfRule type="cellIs" dxfId="2171" priority="290" operator="equal">
      <formula>"PHI"</formula>
    </cfRule>
    <cfRule type="cellIs" dxfId="2170" priority="291" operator="equal">
      <formula>"GB"</formula>
    </cfRule>
    <cfRule type="cellIs" dxfId="2169" priority="292" operator="equal">
      <formula>"MIN"</formula>
    </cfRule>
    <cfRule type="cellIs" dxfId="2168" priority="293" operator="equal">
      <formula>"NYG"</formula>
    </cfRule>
    <cfRule type="cellIs" dxfId="2167" priority="294" operator="equal">
      <formula>"PIT"</formula>
    </cfRule>
    <cfRule type="cellIs" dxfId="2166" priority="295" operator="equal">
      <formula>"KC"</formula>
    </cfRule>
    <cfRule type="cellIs" dxfId="2165" priority="296" operator="equal">
      <formula>"ARI"</formula>
    </cfRule>
    <cfRule type="cellIs" dxfId="2164" priority="297" operator="equal">
      <formula>"LA"</formula>
    </cfRule>
    <cfRule type="cellIs" dxfId="2163" priority="298" operator="equal">
      <formula>"SD"</formula>
    </cfRule>
    <cfRule type="cellIs" dxfId="2162" priority="299" operator="equal">
      <formula>"NO"</formula>
    </cfRule>
    <cfRule type="cellIs" dxfId="2161" priority="300" operator="equal">
      <formula>"SF"</formula>
    </cfRule>
    <cfRule type="cellIs" dxfId="2160" priority="301" operator="equal">
      <formula>"DAL"</formula>
    </cfRule>
    <cfRule type="cellIs" dxfId="2159" priority="302" operator="equal">
      <formula>"TB"</formula>
    </cfRule>
    <cfRule type="cellIs" dxfId="2158" priority="303" operator="equal">
      <formula>"DEN"</formula>
    </cfRule>
    <cfRule type="cellIs" dxfId="2157" priority="304" operator="equal">
      <formula>"BAL"</formula>
    </cfRule>
    <cfRule type="cellIs" dxfId="2156" priority="305" operator="equal">
      <formula>"OAK"</formula>
    </cfRule>
    <cfRule type="cellIs" dxfId="2155" priority="306" operator="equal">
      <formula>"HOU"</formula>
    </cfRule>
    <cfRule type="cellIs" dxfId="2154" priority="307" operator="equal">
      <formula>"TEN"</formula>
    </cfRule>
    <cfRule type="cellIs" dxfId="2153" priority="308" operator="equal">
      <formula>"CHI"</formula>
    </cfRule>
    <cfRule type="cellIs" dxfId="2152" priority="309" operator="equal">
      <formula>"DET"</formula>
    </cfRule>
    <cfRule type="cellIs" dxfId="2151" priority="310" operator="equal">
      <formula>"ATL"</formula>
    </cfRule>
    <cfRule type="cellIs" dxfId="2150" priority="311" operator="equal">
      <formula>"CAR"</formula>
    </cfRule>
    <cfRule type="cellIs" dxfId="2149" priority="312" operator="equal">
      <formula>"IND"</formula>
    </cfRule>
    <cfRule type="cellIs" dxfId="2148" priority="313" operator="equal">
      <formula>"JAX"</formula>
    </cfRule>
    <cfRule type="cellIs" dxfId="2147" priority="314" operator="equal">
      <formula>"NYJ"</formula>
    </cfRule>
    <cfRule type="cellIs" dxfId="2146" priority="315" operator="equal">
      <formula>"SEA"</formula>
    </cfRule>
    <cfRule type="cellIs" dxfId="2145" priority="316" operator="equal">
      <formula>"NE"</formula>
    </cfRule>
    <cfRule type="cellIs" dxfId="2144" priority="317" operator="equal">
      <formula>"BUF"</formula>
    </cfRule>
    <cfRule type="cellIs" dxfId="2143" priority="318" operator="equal">
      <formula>"WAS"</formula>
    </cfRule>
    <cfRule type="cellIs" dxfId="2142" priority="319" operator="equal">
      <formula>"CLE"</formula>
    </cfRule>
    <cfRule type="cellIs" dxfId="2141" priority="320" operator="equal">
      <formula>"CIN"</formula>
    </cfRule>
    <cfRule type="cellIs" dxfId="2140" priority="321" operator="equal">
      <formula>"MIA"</formula>
    </cfRule>
  </conditionalFormatting>
  <conditionalFormatting sqref="R4:R5">
    <cfRule type="cellIs" dxfId="2139" priority="258" operator="equal">
      <formula>"PHI"</formula>
    </cfRule>
    <cfRule type="cellIs" dxfId="2138" priority="259" operator="equal">
      <formula>"GB"</formula>
    </cfRule>
    <cfRule type="cellIs" dxfId="2137" priority="260" operator="equal">
      <formula>"MIN"</formula>
    </cfRule>
    <cfRule type="cellIs" dxfId="2136" priority="261" operator="equal">
      <formula>"NYG"</formula>
    </cfRule>
    <cfRule type="cellIs" dxfId="2135" priority="262" operator="equal">
      <formula>"PIT"</formula>
    </cfRule>
    <cfRule type="cellIs" dxfId="2134" priority="263" operator="equal">
      <formula>"KC"</formula>
    </cfRule>
    <cfRule type="cellIs" dxfId="2133" priority="264" operator="equal">
      <formula>"ARI"</formula>
    </cfRule>
    <cfRule type="cellIs" dxfId="2132" priority="265" operator="equal">
      <formula>"LA"</formula>
    </cfRule>
    <cfRule type="cellIs" dxfId="2131" priority="266" operator="equal">
      <formula>"SD"</formula>
    </cfRule>
    <cfRule type="cellIs" dxfId="2130" priority="267" operator="equal">
      <formula>"NO"</formula>
    </cfRule>
    <cfRule type="cellIs" dxfId="2129" priority="268" operator="equal">
      <formula>"SF"</formula>
    </cfRule>
    <cfRule type="cellIs" dxfId="2128" priority="269" operator="equal">
      <formula>"DAL"</formula>
    </cfRule>
    <cfRule type="cellIs" dxfId="2127" priority="270" operator="equal">
      <formula>"TB"</formula>
    </cfRule>
    <cfRule type="cellIs" dxfId="2126" priority="271" operator="equal">
      <formula>"DEN"</formula>
    </cfRule>
    <cfRule type="cellIs" dxfId="2125" priority="272" operator="equal">
      <formula>"BAL"</formula>
    </cfRule>
    <cfRule type="cellIs" dxfId="2124" priority="273" operator="equal">
      <formula>"OAK"</formula>
    </cfRule>
    <cfRule type="cellIs" dxfId="2123" priority="274" operator="equal">
      <formula>"HOU"</formula>
    </cfRule>
    <cfRule type="cellIs" dxfId="2122" priority="275" operator="equal">
      <formula>"TEN"</formula>
    </cfRule>
    <cfRule type="cellIs" dxfId="2121" priority="276" operator="equal">
      <formula>"CHI"</formula>
    </cfRule>
    <cfRule type="cellIs" dxfId="2120" priority="277" operator="equal">
      <formula>"DET"</formula>
    </cfRule>
    <cfRule type="cellIs" dxfId="2119" priority="278" operator="equal">
      <formula>"ATL"</formula>
    </cfRule>
    <cfRule type="cellIs" dxfId="2118" priority="279" operator="equal">
      <formula>"CAR"</formula>
    </cfRule>
    <cfRule type="cellIs" dxfId="2117" priority="280" operator="equal">
      <formula>"IND"</formula>
    </cfRule>
    <cfRule type="cellIs" dxfId="2116" priority="281" operator="equal">
      <formula>"JAX"</formula>
    </cfRule>
    <cfRule type="cellIs" dxfId="2115" priority="282" operator="equal">
      <formula>"NYJ"</formula>
    </cfRule>
    <cfRule type="cellIs" dxfId="2114" priority="283" operator="equal">
      <formula>"SEA"</formula>
    </cfRule>
    <cfRule type="cellIs" dxfId="2113" priority="284" operator="equal">
      <formula>"NE"</formula>
    </cfRule>
    <cfRule type="cellIs" dxfId="2112" priority="285" operator="equal">
      <formula>"BUF"</formula>
    </cfRule>
    <cfRule type="cellIs" dxfId="2111" priority="286" operator="equal">
      <formula>"WAS"</formula>
    </cfRule>
    <cfRule type="cellIs" dxfId="2110" priority="287" operator="equal">
      <formula>"CLE"</formula>
    </cfRule>
    <cfRule type="cellIs" dxfId="2109" priority="288" operator="equal">
      <formula>"CIN"</formula>
    </cfRule>
    <cfRule type="cellIs" dxfId="2108" priority="289" operator="equal">
      <formula>"MIA"</formula>
    </cfRule>
  </conditionalFormatting>
  <conditionalFormatting sqref="B20">
    <cfRule type="cellIs" dxfId="2107" priority="226" operator="equal">
      <formula>"PHI"</formula>
    </cfRule>
    <cfRule type="cellIs" dxfId="2106" priority="227" operator="equal">
      <formula>"GB"</formula>
    </cfRule>
    <cfRule type="cellIs" dxfId="2105" priority="228" operator="equal">
      <formula>"MIN"</formula>
    </cfRule>
    <cfRule type="cellIs" dxfId="2104" priority="229" operator="equal">
      <formula>"NYG"</formula>
    </cfRule>
    <cfRule type="cellIs" dxfId="2103" priority="230" operator="equal">
      <formula>"PIT"</formula>
    </cfRule>
    <cfRule type="cellIs" dxfId="2102" priority="231" operator="equal">
      <formula>"KC"</formula>
    </cfRule>
    <cfRule type="cellIs" dxfId="2101" priority="232" operator="equal">
      <formula>"ARI"</formula>
    </cfRule>
    <cfRule type="cellIs" dxfId="2100" priority="233" operator="equal">
      <formula>"LA"</formula>
    </cfRule>
    <cfRule type="cellIs" dxfId="2099" priority="234" operator="equal">
      <formula>"SD"</formula>
    </cfRule>
    <cfRule type="cellIs" dxfId="2098" priority="235" operator="equal">
      <formula>"NO"</formula>
    </cfRule>
    <cfRule type="cellIs" dxfId="2097" priority="236" operator="equal">
      <formula>"SF"</formula>
    </cfRule>
    <cfRule type="cellIs" dxfId="2096" priority="237" operator="equal">
      <formula>"DAL"</formula>
    </cfRule>
    <cfRule type="cellIs" dxfId="2095" priority="238" operator="equal">
      <formula>"TB"</formula>
    </cfRule>
    <cfRule type="cellIs" dxfId="2094" priority="239" operator="equal">
      <formula>"DEN"</formula>
    </cfRule>
    <cfRule type="cellIs" dxfId="2093" priority="240" operator="equal">
      <formula>"BAL"</formula>
    </cfRule>
    <cfRule type="cellIs" dxfId="2092" priority="241" operator="equal">
      <formula>"OAK"</formula>
    </cfRule>
    <cfRule type="cellIs" dxfId="2091" priority="242" operator="equal">
      <formula>"HOU"</formula>
    </cfRule>
    <cfRule type="cellIs" dxfId="2090" priority="243" operator="equal">
      <formula>"TEN"</formula>
    </cfRule>
    <cfRule type="cellIs" dxfId="2089" priority="244" operator="equal">
      <formula>"CHI"</formula>
    </cfRule>
    <cfRule type="cellIs" dxfId="2088" priority="245" operator="equal">
      <formula>"DET"</formula>
    </cfRule>
    <cfRule type="cellIs" dxfId="2087" priority="246" operator="equal">
      <formula>"ATL"</formula>
    </cfRule>
    <cfRule type="cellIs" dxfId="2086" priority="247" operator="equal">
      <formula>"CAR"</formula>
    </cfRule>
    <cfRule type="cellIs" dxfId="2085" priority="248" operator="equal">
      <formula>"IND"</formula>
    </cfRule>
    <cfRule type="cellIs" dxfId="2084" priority="249" operator="equal">
      <formula>"JAX"</formula>
    </cfRule>
    <cfRule type="cellIs" dxfId="2083" priority="250" operator="equal">
      <formula>"NYJ"</formula>
    </cfRule>
    <cfRule type="cellIs" dxfId="2082" priority="251" operator="equal">
      <formula>"SEA"</formula>
    </cfRule>
    <cfRule type="cellIs" dxfId="2081" priority="252" operator="equal">
      <formula>"NE"</formula>
    </cfRule>
    <cfRule type="cellIs" dxfId="2080" priority="253" operator="equal">
      <formula>"BUF"</formula>
    </cfRule>
    <cfRule type="cellIs" dxfId="2079" priority="254" operator="equal">
      <formula>"WAS"</formula>
    </cfRule>
    <cfRule type="cellIs" dxfId="2078" priority="255" operator="equal">
      <formula>"CLE"</formula>
    </cfRule>
    <cfRule type="cellIs" dxfId="2077" priority="256" operator="equal">
      <formula>"CIN"</formula>
    </cfRule>
    <cfRule type="cellIs" dxfId="2076" priority="257" operator="equal">
      <formula>"MIA"</formula>
    </cfRule>
  </conditionalFormatting>
  <conditionalFormatting sqref="Q6:Q20">
    <cfRule type="cellIs" dxfId="2075" priority="162" operator="equal">
      <formula>"PHI"</formula>
    </cfRule>
    <cfRule type="cellIs" dxfId="2074" priority="163" operator="equal">
      <formula>"GB"</formula>
    </cfRule>
    <cfRule type="cellIs" dxfId="2073" priority="164" operator="equal">
      <formula>"MIN"</formula>
    </cfRule>
    <cfRule type="cellIs" dxfId="2072" priority="165" operator="equal">
      <formula>"NYG"</formula>
    </cfRule>
    <cfRule type="cellIs" dxfId="2071" priority="166" operator="equal">
      <formula>"PIT"</formula>
    </cfRule>
    <cfRule type="cellIs" dxfId="2070" priority="167" operator="equal">
      <formula>"KC"</formula>
    </cfRule>
    <cfRule type="cellIs" dxfId="2069" priority="168" operator="equal">
      <formula>"ARI"</formula>
    </cfRule>
    <cfRule type="cellIs" dxfId="2068" priority="169" operator="equal">
      <formula>"LA"</formula>
    </cfRule>
    <cfRule type="cellIs" dxfId="2067" priority="170" operator="equal">
      <formula>"SD"</formula>
    </cfRule>
    <cfRule type="cellIs" dxfId="2066" priority="171" operator="equal">
      <formula>"NO"</formula>
    </cfRule>
    <cfRule type="cellIs" dxfId="2065" priority="172" operator="equal">
      <formula>"SF"</formula>
    </cfRule>
    <cfRule type="cellIs" dxfId="2064" priority="173" operator="equal">
      <formula>"DAL"</formula>
    </cfRule>
    <cfRule type="cellIs" dxfId="2063" priority="174" operator="equal">
      <formula>"TB"</formula>
    </cfRule>
    <cfRule type="cellIs" dxfId="2062" priority="175" operator="equal">
      <formula>"DEN"</formula>
    </cfRule>
    <cfRule type="cellIs" dxfId="2061" priority="176" operator="equal">
      <formula>"BAL"</formula>
    </cfRule>
    <cfRule type="cellIs" dxfId="2060" priority="177" operator="equal">
      <formula>"OAK"</formula>
    </cfRule>
    <cfRule type="cellIs" dxfId="2059" priority="178" operator="equal">
      <formula>"HOU"</formula>
    </cfRule>
    <cfRule type="cellIs" dxfId="2058" priority="179" operator="equal">
      <formula>"TEN"</formula>
    </cfRule>
    <cfRule type="cellIs" dxfId="2057" priority="180" operator="equal">
      <formula>"CHI"</formula>
    </cfRule>
    <cfRule type="cellIs" dxfId="2056" priority="181" operator="equal">
      <formula>"DET"</formula>
    </cfRule>
    <cfRule type="cellIs" dxfId="2055" priority="182" operator="equal">
      <formula>"ATL"</formula>
    </cfRule>
    <cfRule type="cellIs" dxfId="2054" priority="183" operator="equal">
      <formula>"CAR"</formula>
    </cfRule>
    <cfRule type="cellIs" dxfId="2053" priority="184" operator="equal">
      <formula>"IND"</formula>
    </cfRule>
    <cfRule type="cellIs" dxfId="2052" priority="185" operator="equal">
      <formula>"JAX"</formula>
    </cfRule>
    <cfRule type="cellIs" dxfId="2051" priority="186" operator="equal">
      <formula>"NYJ"</formula>
    </cfRule>
    <cfRule type="cellIs" dxfId="2050" priority="187" operator="equal">
      <formula>"SEA"</formula>
    </cfRule>
    <cfRule type="cellIs" dxfId="2049" priority="188" operator="equal">
      <formula>"NE"</formula>
    </cfRule>
    <cfRule type="cellIs" dxfId="2048" priority="189" operator="equal">
      <formula>"BUF"</formula>
    </cfRule>
    <cfRule type="cellIs" dxfId="2047" priority="190" operator="equal">
      <formula>"WAS"</formula>
    </cfRule>
    <cfRule type="cellIs" dxfId="2046" priority="191" operator="equal">
      <formula>"CLE"</formula>
    </cfRule>
    <cfRule type="cellIs" dxfId="2045" priority="192" operator="equal">
      <formula>"CIN"</formula>
    </cfRule>
    <cfRule type="cellIs" dxfId="2044" priority="193" operator="equal">
      <formula>"MIA"</formula>
    </cfRule>
  </conditionalFormatting>
  <conditionalFormatting sqref="B6:P19">
    <cfRule type="cellIs" dxfId="2043" priority="130" operator="equal">
      <formula>"PHI"</formula>
    </cfRule>
    <cfRule type="cellIs" dxfId="2042" priority="131" operator="equal">
      <formula>"GB"</formula>
    </cfRule>
    <cfRule type="cellIs" dxfId="2041" priority="132" operator="equal">
      <formula>"MIN"</formula>
    </cfRule>
    <cfRule type="cellIs" dxfId="2040" priority="133" operator="equal">
      <formula>"NYG"</formula>
    </cfRule>
    <cfRule type="cellIs" dxfId="2039" priority="134" operator="equal">
      <formula>"PIT"</formula>
    </cfRule>
    <cfRule type="cellIs" dxfId="2038" priority="135" operator="equal">
      <formula>"KC"</formula>
    </cfRule>
    <cfRule type="cellIs" dxfId="2037" priority="136" operator="equal">
      <formula>"ARI"</formula>
    </cfRule>
    <cfRule type="cellIs" dxfId="2036" priority="137" operator="equal">
      <formula>"LA"</formula>
    </cfRule>
    <cfRule type="cellIs" dxfId="2035" priority="138" operator="equal">
      <formula>"SD"</formula>
    </cfRule>
    <cfRule type="cellIs" dxfId="2034" priority="139" operator="equal">
      <formula>"NO"</formula>
    </cfRule>
    <cfRule type="cellIs" dxfId="2033" priority="140" operator="equal">
      <formula>"SF"</formula>
    </cfRule>
    <cfRule type="cellIs" dxfId="2032" priority="141" operator="equal">
      <formula>"DAL"</formula>
    </cfRule>
    <cfRule type="cellIs" dxfId="2031" priority="142" operator="equal">
      <formula>"TB"</formula>
    </cfRule>
    <cfRule type="cellIs" dxfId="2030" priority="143" operator="equal">
      <formula>"DEN"</formula>
    </cfRule>
    <cfRule type="cellIs" dxfId="2029" priority="144" operator="equal">
      <formula>"BAL"</formula>
    </cfRule>
    <cfRule type="cellIs" dxfId="2028" priority="145" operator="equal">
      <formula>"OAK"</formula>
    </cfRule>
    <cfRule type="cellIs" dxfId="2027" priority="146" operator="equal">
      <formula>"HOU"</formula>
    </cfRule>
    <cfRule type="cellIs" dxfId="2026" priority="147" operator="equal">
      <formula>"TEN"</formula>
    </cfRule>
    <cfRule type="cellIs" dxfId="2025" priority="148" operator="equal">
      <formula>"CHI"</formula>
    </cfRule>
    <cfRule type="cellIs" dxfId="2024" priority="149" operator="equal">
      <formula>"DET"</formula>
    </cfRule>
    <cfRule type="cellIs" dxfId="2023" priority="150" operator="equal">
      <formula>"ATL"</formula>
    </cfRule>
    <cfRule type="cellIs" dxfId="2022" priority="151" operator="equal">
      <formula>"CAR"</formula>
    </cfRule>
    <cfRule type="cellIs" dxfId="2021" priority="152" operator="equal">
      <formula>"IND"</formula>
    </cfRule>
    <cfRule type="cellIs" dxfId="2020" priority="153" operator="equal">
      <formula>"JAX"</formula>
    </cfRule>
    <cfRule type="cellIs" dxfId="2019" priority="154" operator="equal">
      <formula>"NYJ"</formula>
    </cfRule>
    <cfRule type="cellIs" dxfId="2018" priority="155" operator="equal">
      <formula>"SEA"</formula>
    </cfRule>
    <cfRule type="cellIs" dxfId="2017" priority="156" operator="equal">
      <formula>"NE"</formula>
    </cfRule>
    <cfRule type="cellIs" dxfId="2016" priority="157" operator="equal">
      <formula>"BUF"</formula>
    </cfRule>
    <cfRule type="cellIs" dxfId="2015" priority="158" operator="equal">
      <formula>"WAS"</formula>
    </cfRule>
    <cfRule type="cellIs" dxfId="2014" priority="159" operator="equal">
      <formula>"CLE"</formula>
    </cfRule>
    <cfRule type="cellIs" dxfId="2013" priority="160" operator="equal">
      <formula>"CIN"</formula>
    </cfRule>
    <cfRule type="cellIs" dxfId="2012" priority="161" operator="equal">
      <formula>"MIA"</formula>
    </cfRule>
  </conditionalFormatting>
  <conditionalFormatting sqref="B37:B38">
    <cfRule type="cellIs" dxfId="2011" priority="33" operator="equal">
      <formula>"PHI"</formula>
    </cfRule>
    <cfRule type="cellIs" dxfId="2010" priority="34" operator="equal">
      <formula>"GB"</formula>
    </cfRule>
    <cfRule type="cellIs" dxfId="2009" priority="35" operator="equal">
      <formula>"MIN"</formula>
    </cfRule>
    <cfRule type="cellIs" dxfId="2008" priority="36" operator="equal">
      <formula>"NYG"</formula>
    </cfRule>
    <cfRule type="cellIs" dxfId="2007" priority="37" operator="equal">
      <formula>"PIT"</formula>
    </cfRule>
    <cfRule type="cellIs" dxfId="2006" priority="38" operator="equal">
      <formula>"KC"</formula>
    </cfRule>
    <cfRule type="cellIs" dxfId="2005" priority="39" operator="equal">
      <formula>"ARI"</formula>
    </cfRule>
    <cfRule type="cellIs" dxfId="2004" priority="40" operator="equal">
      <formula>"LA"</formula>
    </cfRule>
    <cfRule type="cellIs" dxfId="2003" priority="41" operator="equal">
      <formula>"SD"</formula>
    </cfRule>
    <cfRule type="cellIs" dxfId="2002" priority="42" operator="equal">
      <formula>"NO"</formula>
    </cfRule>
    <cfRule type="cellIs" dxfId="2001" priority="43" operator="equal">
      <formula>"SF"</formula>
    </cfRule>
    <cfRule type="cellIs" dxfId="2000" priority="44" operator="equal">
      <formula>"DAL"</formula>
    </cfRule>
    <cfRule type="cellIs" dxfId="1999" priority="45" operator="equal">
      <formula>"TB"</formula>
    </cfRule>
    <cfRule type="cellIs" dxfId="1998" priority="46" operator="equal">
      <formula>"DEN"</formula>
    </cfRule>
    <cfRule type="cellIs" dxfId="1997" priority="47" operator="equal">
      <formula>"BAL"</formula>
    </cfRule>
    <cfRule type="cellIs" dxfId="1996" priority="48" operator="equal">
      <formula>"OAK"</formula>
    </cfRule>
    <cfRule type="cellIs" dxfId="1995" priority="49" operator="equal">
      <formula>"HOU"</formula>
    </cfRule>
    <cfRule type="cellIs" dxfId="1994" priority="50" operator="equal">
      <formula>"TEN"</formula>
    </cfRule>
    <cfRule type="cellIs" dxfId="1993" priority="51" operator="equal">
      <formula>"CHI"</formula>
    </cfRule>
    <cfRule type="cellIs" dxfId="1992" priority="52" operator="equal">
      <formula>"DET"</formula>
    </cfRule>
    <cfRule type="cellIs" dxfId="1991" priority="53" operator="equal">
      <formula>"ATL"</formula>
    </cfRule>
    <cfRule type="cellIs" dxfId="1990" priority="54" operator="equal">
      <formula>"CAR"</formula>
    </cfRule>
    <cfRule type="cellIs" dxfId="1989" priority="55" operator="equal">
      <formula>"IND"</formula>
    </cfRule>
    <cfRule type="cellIs" dxfId="1988" priority="56" operator="equal">
      <formula>"JAX"</formula>
    </cfRule>
    <cfRule type="cellIs" dxfId="1987" priority="57" operator="equal">
      <formula>"NYJ"</formula>
    </cfRule>
    <cfRule type="cellIs" dxfId="1986" priority="58" operator="equal">
      <formula>"SEA"</formula>
    </cfRule>
    <cfRule type="cellIs" dxfId="1985" priority="59" operator="equal">
      <formula>"NE"</formula>
    </cfRule>
    <cfRule type="cellIs" dxfId="1984" priority="60" operator="equal">
      <formula>"BUF"</formula>
    </cfRule>
    <cfRule type="cellIs" dxfId="1983" priority="61" operator="equal">
      <formula>"WAS"</formula>
    </cfRule>
    <cfRule type="cellIs" dxfId="1982" priority="62" operator="equal">
      <formula>"CLE"</formula>
    </cfRule>
    <cfRule type="cellIs" dxfId="1981" priority="63" operator="equal">
      <formula>"CIN"</formula>
    </cfRule>
    <cfRule type="cellIs" dxfId="1980" priority="64" operator="equal">
      <formula>"MIA"</formula>
    </cfRule>
  </conditionalFormatting>
  <conditionalFormatting sqref="C25:Q38">
    <cfRule type="cellIs" dxfId="1979" priority="97" operator="equal">
      <formula>"PHI"</formula>
    </cfRule>
    <cfRule type="cellIs" dxfId="1978" priority="98" operator="equal">
      <formula>"GB"</formula>
    </cfRule>
    <cfRule type="cellIs" dxfId="1977" priority="99" operator="equal">
      <formula>"MIN"</formula>
    </cfRule>
    <cfRule type="cellIs" dxfId="1976" priority="100" operator="equal">
      <formula>"NYG"</formula>
    </cfRule>
    <cfRule type="cellIs" dxfId="1975" priority="101" operator="equal">
      <formula>"PIT"</formula>
    </cfRule>
    <cfRule type="cellIs" dxfId="1974" priority="102" operator="equal">
      <formula>"KC"</formula>
    </cfRule>
    <cfRule type="cellIs" dxfId="1973" priority="103" operator="equal">
      <formula>"ARI"</formula>
    </cfRule>
    <cfRule type="cellIs" dxfId="1972" priority="104" operator="equal">
      <formula>"LA"</formula>
    </cfRule>
    <cfRule type="cellIs" dxfId="1971" priority="105" operator="equal">
      <formula>"SD"</formula>
    </cfRule>
    <cfRule type="cellIs" dxfId="1970" priority="106" operator="equal">
      <formula>"NO"</formula>
    </cfRule>
    <cfRule type="cellIs" dxfId="1969" priority="107" operator="equal">
      <formula>"SF"</formula>
    </cfRule>
    <cfRule type="cellIs" dxfId="1968" priority="108" operator="equal">
      <formula>"DAL"</formula>
    </cfRule>
    <cfRule type="cellIs" dxfId="1967" priority="109" operator="equal">
      <formula>"TB"</formula>
    </cfRule>
    <cfRule type="cellIs" dxfId="1966" priority="110" operator="equal">
      <formula>"DEN"</formula>
    </cfRule>
    <cfRule type="cellIs" dxfId="1965" priority="111" operator="equal">
      <formula>"BAL"</formula>
    </cfRule>
    <cfRule type="cellIs" dxfId="1964" priority="112" operator="equal">
      <formula>"OAK"</formula>
    </cfRule>
    <cfRule type="cellIs" dxfId="1963" priority="113" operator="equal">
      <formula>"HOU"</formula>
    </cfRule>
    <cfRule type="cellIs" dxfId="1962" priority="114" operator="equal">
      <formula>"TEN"</formula>
    </cfRule>
    <cfRule type="cellIs" dxfId="1961" priority="115" operator="equal">
      <formula>"CHI"</formula>
    </cfRule>
    <cfRule type="cellIs" dxfId="1960" priority="116" operator="equal">
      <formula>"DET"</formula>
    </cfRule>
    <cfRule type="cellIs" dxfId="1959" priority="117" operator="equal">
      <formula>"ATL"</formula>
    </cfRule>
    <cfRule type="cellIs" dxfId="1958" priority="118" operator="equal">
      <formula>"CAR"</formula>
    </cfRule>
    <cfRule type="cellIs" dxfId="1957" priority="119" operator="equal">
      <formula>"IND"</formula>
    </cfRule>
    <cfRule type="cellIs" dxfId="1956" priority="120" operator="equal">
      <formula>"JAX"</formula>
    </cfRule>
    <cfRule type="cellIs" dxfId="1955" priority="121" operator="equal">
      <formula>"NYJ"</formula>
    </cfRule>
    <cfRule type="cellIs" dxfId="1954" priority="122" operator="equal">
      <formula>"SEA"</formula>
    </cfRule>
    <cfRule type="cellIs" dxfId="1953" priority="123" operator="equal">
      <formula>"NE"</formula>
    </cfRule>
    <cfRule type="cellIs" dxfId="1952" priority="124" operator="equal">
      <formula>"BUF"</formula>
    </cfRule>
    <cfRule type="cellIs" dxfId="1951" priority="125" operator="equal">
      <formula>"WAS"</formula>
    </cfRule>
    <cfRule type="cellIs" dxfId="1950" priority="126" operator="equal">
      <formula>"CLE"</formula>
    </cfRule>
    <cfRule type="cellIs" dxfId="1949" priority="127" operator="equal">
      <formula>"CIN"</formula>
    </cfRule>
    <cfRule type="cellIs" dxfId="1948" priority="128" operator="equal">
      <formula>"MIA"</formula>
    </cfRule>
  </conditionalFormatting>
  <conditionalFormatting sqref="B25:B36">
    <cfRule type="cellIs" dxfId="1947" priority="65" operator="equal">
      <formula>"PHI"</formula>
    </cfRule>
    <cfRule type="cellIs" dxfId="1946" priority="66" operator="equal">
      <formula>"GB"</formula>
    </cfRule>
    <cfRule type="cellIs" dxfId="1945" priority="67" operator="equal">
      <formula>"MIN"</formula>
    </cfRule>
    <cfRule type="cellIs" dxfId="1944" priority="68" operator="equal">
      <formula>"NYG"</formula>
    </cfRule>
    <cfRule type="cellIs" dxfId="1943" priority="69" operator="equal">
      <formula>"PIT"</formula>
    </cfRule>
    <cfRule type="cellIs" dxfId="1942" priority="70" operator="equal">
      <formula>"KC"</formula>
    </cfRule>
    <cfRule type="cellIs" dxfId="1941" priority="71" operator="equal">
      <formula>"ARI"</formula>
    </cfRule>
    <cfRule type="cellIs" dxfId="1940" priority="72" operator="equal">
      <formula>"LA"</formula>
    </cfRule>
    <cfRule type="cellIs" dxfId="1939" priority="73" operator="equal">
      <formula>"SD"</formula>
    </cfRule>
    <cfRule type="cellIs" dxfId="1938" priority="74" operator="equal">
      <formula>"NO"</formula>
    </cfRule>
    <cfRule type="cellIs" dxfId="1937" priority="75" operator="equal">
      <formula>"SF"</formula>
    </cfRule>
    <cfRule type="cellIs" dxfId="1936" priority="76" operator="equal">
      <formula>"DAL"</formula>
    </cfRule>
    <cfRule type="cellIs" dxfId="1935" priority="77" operator="equal">
      <formula>"TB"</formula>
    </cfRule>
    <cfRule type="cellIs" dxfId="1934" priority="78" operator="equal">
      <formula>"DEN"</formula>
    </cfRule>
    <cfRule type="cellIs" dxfId="1933" priority="79" operator="equal">
      <formula>"BAL"</formula>
    </cfRule>
    <cfRule type="cellIs" dxfId="1932" priority="80" operator="equal">
      <formula>"OAK"</formula>
    </cfRule>
    <cfRule type="cellIs" dxfId="1931" priority="81" operator="equal">
      <formula>"HOU"</formula>
    </cfRule>
    <cfRule type="cellIs" dxfId="1930" priority="82" operator="equal">
      <formula>"TEN"</formula>
    </cfRule>
    <cfRule type="cellIs" dxfId="1929" priority="83" operator="equal">
      <formula>"CHI"</formula>
    </cfRule>
    <cfRule type="cellIs" dxfId="1928" priority="84" operator="equal">
      <formula>"DET"</formula>
    </cfRule>
    <cfRule type="cellIs" dxfId="1927" priority="85" operator="equal">
      <formula>"ATL"</formula>
    </cfRule>
    <cfRule type="cellIs" dxfId="1926" priority="86" operator="equal">
      <formula>"CAR"</formula>
    </cfRule>
    <cfRule type="cellIs" dxfId="1925" priority="87" operator="equal">
      <formula>"IND"</formula>
    </cfRule>
    <cfRule type="cellIs" dxfId="1924" priority="88" operator="equal">
      <formula>"JAX"</formula>
    </cfRule>
    <cfRule type="cellIs" dxfId="1923" priority="89" operator="equal">
      <formula>"NYJ"</formula>
    </cfRule>
    <cfRule type="cellIs" dxfId="1922" priority="90" operator="equal">
      <formula>"SEA"</formula>
    </cfRule>
    <cfRule type="cellIs" dxfId="1921" priority="91" operator="equal">
      <formula>"NE"</formula>
    </cfRule>
    <cfRule type="cellIs" dxfId="1920" priority="92" operator="equal">
      <formula>"BUF"</formula>
    </cfRule>
    <cfRule type="cellIs" dxfId="1919" priority="93" operator="equal">
      <formula>"WAS"</formula>
    </cfRule>
    <cfRule type="cellIs" dxfId="1918" priority="94" operator="equal">
      <formula>"CLE"</formula>
    </cfRule>
    <cfRule type="cellIs" dxfId="1917" priority="95" operator="equal">
      <formula>"CIN"</formula>
    </cfRule>
    <cfRule type="cellIs" dxfId="1916" priority="96" operator="equal">
      <formula>"MIA"</formula>
    </cfRule>
  </conditionalFormatting>
  <conditionalFormatting sqref="C25:Q38">
    <cfRule type="colorScale" priority="129">
      <colorScale>
        <cfvo type="min"/>
        <cfvo type="max"/>
        <color rgb="FFFCFCFF"/>
        <color rgb="FF63BE7B"/>
      </colorScale>
    </cfRule>
  </conditionalFormatting>
  <conditionalFormatting sqref="R6:R19">
    <cfRule type="cellIs" dxfId="1915" priority="1" operator="equal">
      <formula>"PHI"</formula>
    </cfRule>
    <cfRule type="cellIs" dxfId="1914" priority="2" operator="equal">
      <formula>"GB"</formula>
    </cfRule>
    <cfRule type="cellIs" dxfId="1913" priority="3" operator="equal">
      <formula>"MIN"</formula>
    </cfRule>
    <cfRule type="cellIs" dxfId="1912" priority="4" operator="equal">
      <formula>"NYG"</formula>
    </cfRule>
    <cfRule type="cellIs" dxfId="1911" priority="5" operator="equal">
      <formula>"PIT"</formula>
    </cfRule>
    <cfRule type="cellIs" dxfId="1910" priority="6" operator="equal">
      <formula>"KC"</formula>
    </cfRule>
    <cfRule type="cellIs" dxfId="1909" priority="7" operator="equal">
      <formula>"ARI"</formula>
    </cfRule>
    <cfRule type="cellIs" dxfId="1908" priority="8" operator="equal">
      <formula>"LA"</formula>
    </cfRule>
    <cfRule type="cellIs" dxfId="1907" priority="9" operator="equal">
      <formula>"SD"</formula>
    </cfRule>
    <cfRule type="cellIs" dxfId="1906" priority="10" operator="equal">
      <formula>"NO"</formula>
    </cfRule>
    <cfRule type="cellIs" dxfId="1905" priority="11" operator="equal">
      <formula>"SF"</formula>
    </cfRule>
    <cfRule type="cellIs" dxfId="1904" priority="12" operator="equal">
      <formula>"DAL"</formula>
    </cfRule>
    <cfRule type="cellIs" dxfId="1903" priority="13" operator="equal">
      <formula>"TB"</formula>
    </cfRule>
    <cfRule type="cellIs" dxfId="1902" priority="14" operator="equal">
      <formula>"DEN"</formula>
    </cfRule>
    <cfRule type="cellIs" dxfId="1901" priority="15" operator="equal">
      <formula>"BAL"</formula>
    </cfRule>
    <cfRule type="cellIs" dxfId="1900" priority="16" operator="equal">
      <formula>"OAK"</formula>
    </cfRule>
    <cfRule type="cellIs" dxfId="1899" priority="17" operator="equal">
      <formula>"HOU"</formula>
    </cfRule>
    <cfRule type="cellIs" dxfId="1898" priority="18" operator="equal">
      <formula>"TEN"</formula>
    </cfRule>
    <cfRule type="cellIs" dxfId="1897" priority="19" operator="equal">
      <formula>"CHI"</formula>
    </cfRule>
    <cfRule type="cellIs" dxfId="1896" priority="20" operator="equal">
      <formula>"DET"</formula>
    </cfRule>
    <cfRule type="cellIs" dxfId="1895" priority="21" operator="equal">
      <formula>"ATL"</formula>
    </cfRule>
    <cfRule type="cellIs" dxfId="1894" priority="22" operator="equal">
      <formula>"CAR"</formula>
    </cfRule>
    <cfRule type="cellIs" dxfId="1893" priority="23" operator="equal">
      <formula>"IND"</formula>
    </cfRule>
    <cfRule type="cellIs" dxfId="1892" priority="24" operator="equal">
      <formula>"JAX"</formula>
    </cfRule>
    <cfRule type="cellIs" dxfId="1891" priority="25" operator="equal">
      <formula>"NYJ"</formula>
    </cfRule>
    <cfRule type="cellIs" dxfId="1890" priority="26" operator="equal">
      <formula>"SEA"</formula>
    </cfRule>
    <cfRule type="cellIs" dxfId="1889" priority="27" operator="equal">
      <formula>"NE"</formula>
    </cfRule>
    <cfRule type="cellIs" dxfId="1888" priority="28" operator="equal">
      <formula>"BUF"</formula>
    </cfRule>
    <cfRule type="cellIs" dxfId="1887" priority="29" operator="equal">
      <formula>"WAS"</formula>
    </cfRule>
    <cfRule type="cellIs" dxfId="1886" priority="30" operator="equal">
      <formula>"CLE"</formula>
    </cfRule>
    <cfRule type="cellIs" dxfId="1885" priority="31" operator="equal">
      <formula>"CIN"</formula>
    </cfRule>
    <cfRule type="cellIs" dxfId="1884" priority="32" operator="equal">
      <formula>"MIA"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T38"/>
  <sheetViews>
    <sheetView workbookViewId="0"/>
  </sheetViews>
  <sheetFormatPr defaultRowHeight="14.5" x14ac:dyDescent="0.35"/>
  <cols>
    <col min="1" max="1" width="5.08984375" style="41" customWidth="1"/>
    <col min="2" max="2" width="10.90625" style="41" bestFit="1" customWidth="1"/>
    <col min="3" max="3" width="8.453125" style="41" customWidth="1"/>
    <col min="4" max="4" width="8.90625" style="41" customWidth="1"/>
    <col min="5" max="5" width="8.81640625" style="41" customWidth="1"/>
    <col min="6" max="6" width="8.453125" style="41" customWidth="1"/>
    <col min="7" max="7" width="9.453125" style="41" customWidth="1"/>
    <col min="8" max="8" width="9.6328125" style="41" customWidth="1"/>
    <col min="9" max="9" width="9.08984375" style="41" customWidth="1"/>
    <col min="10" max="10" width="7.36328125" style="41" customWidth="1"/>
    <col min="11" max="11" width="8.54296875" style="41" customWidth="1"/>
    <col min="12" max="12" width="8.1796875" style="41" customWidth="1"/>
    <col min="13" max="13" width="9.453125" style="41" customWidth="1"/>
    <col min="14" max="14" width="7.36328125" style="41" customWidth="1"/>
    <col min="15" max="15" width="7.6328125" style="41" customWidth="1"/>
    <col min="16" max="16" width="8.08984375" style="41" customWidth="1"/>
    <col min="17" max="17" width="9.453125" style="41" customWidth="1"/>
    <col min="18" max="18" width="8" style="41" bestFit="1" customWidth="1"/>
    <col min="19" max="19" width="8.7265625" style="41"/>
    <col min="20" max="20" width="6.453125" style="41" customWidth="1"/>
    <col min="21" max="16384" width="8.7265625" style="41"/>
  </cols>
  <sheetData>
    <row r="1" spans="1:20" x14ac:dyDescent="0.35">
      <c r="A1" s="277" t="s">
        <v>371</v>
      </c>
      <c r="B1" s="348" t="s">
        <v>371</v>
      </c>
      <c r="C1" s="348" t="s">
        <v>371</v>
      </c>
      <c r="D1" s="348" t="s">
        <v>371</v>
      </c>
      <c r="E1" s="348" t="s">
        <v>371</v>
      </c>
    </row>
    <row r="3" spans="1:20" ht="15" thickBot="1" x14ac:dyDescent="0.4">
      <c r="A3" s="41" t="s">
        <v>371</v>
      </c>
      <c r="B3" s="291" t="s">
        <v>371</v>
      </c>
      <c r="C3" s="291" t="s">
        <v>371</v>
      </c>
      <c r="D3" s="291" t="s">
        <v>371</v>
      </c>
      <c r="E3" s="291" t="s">
        <v>371</v>
      </c>
      <c r="F3" s="291" t="s">
        <v>371</v>
      </c>
      <c r="G3" s="291" t="s">
        <v>371</v>
      </c>
      <c r="H3" s="291" t="s">
        <v>371</v>
      </c>
      <c r="I3" s="291" t="s">
        <v>371</v>
      </c>
      <c r="J3" s="291" t="s">
        <v>371</v>
      </c>
      <c r="K3" s="291" t="s">
        <v>371</v>
      </c>
      <c r="L3" s="291" t="s">
        <v>371</v>
      </c>
      <c r="M3" s="291" t="s">
        <v>371</v>
      </c>
      <c r="N3" s="291" t="s">
        <v>371</v>
      </c>
      <c r="O3" s="291" t="s">
        <v>371</v>
      </c>
      <c r="P3" s="291" t="s">
        <v>371</v>
      </c>
      <c r="Q3" s="291" t="s">
        <v>371</v>
      </c>
      <c r="R3" s="291" t="s">
        <v>371</v>
      </c>
      <c r="S3" s="291" t="s">
        <v>371</v>
      </c>
      <c r="T3" s="291" t="s">
        <v>371</v>
      </c>
    </row>
    <row r="4" spans="1:20" ht="15.5" customHeight="1" thickTop="1" thickBot="1" x14ac:dyDescent="0.4">
      <c r="B4" s="92" t="s">
        <v>0</v>
      </c>
      <c r="C4" s="82" t="s">
        <v>307</v>
      </c>
      <c r="D4" s="82" t="s">
        <v>308</v>
      </c>
      <c r="E4" s="82" t="s">
        <v>309</v>
      </c>
      <c r="F4" s="82" t="s">
        <v>310</v>
      </c>
      <c r="G4" s="82" t="s">
        <v>311</v>
      </c>
      <c r="H4" s="82" t="s">
        <v>312</v>
      </c>
      <c r="I4" s="82" t="s">
        <v>313</v>
      </c>
      <c r="J4" s="82" t="s">
        <v>314</v>
      </c>
      <c r="K4" s="82" t="s">
        <v>315</v>
      </c>
      <c r="L4" s="82" t="s">
        <v>316</v>
      </c>
      <c r="M4" s="82" t="s">
        <v>317</v>
      </c>
      <c r="N4" s="82" t="s">
        <v>318</v>
      </c>
      <c r="O4" s="82" t="s">
        <v>319</v>
      </c>
      <c r="P4" s="82" t="s">
        <v>320</v>
      </c>
      <c r="Q4" t="s">
        <v>427</v>
      </c>
      <c r="R4" s="82" t="s">
        <v>321</v>
      </c>
      <c r="S4" s="406" t="s">
        <v>92</v>
      </c>
    </row>
    <row r="5" spans="1:20" ht="15.5" thickTop="1" thickBot="1" x14ac:dyDescent="0.4">
      <c r="B5" s="26" t="s">
        <v>1</v>
      </c>
      <c r="C5" s="306" t="s">
        <v>20</v>
      </c>
      <c r="D5" s="8" t="s">
        <v>392</v>
      </c>
      <c r="E5" s="8" t="s">
        <v>428</v>
      </c>
      <c r="F5" s="8" t="s">
        <v>144</v>
      </c>
      <c r="G5" s="8" t="s">
        <v>27</v>
      </c>
      <c r="H5" s="8" t="s">
        <v>141</v>
      </c>
      <c r="I5" s="8" t="s">
        <v>115</v>
      </c>
      <c r="J5" s="8" t="s">
        <v>111</v>
      </c>
      <c r="K5" s="8" t="s">
        <v>163</v>
      </c>
      <c r="L5" s="8" t="s">
        <v>27</v>
      </c>
      <c r="M5" s="8" t="s">
        <v>181</v>
      </c>
      <c r="N5" s="8" t="s">
        <v>27</v>
      </c>
      <c r="O5" s="8" t="s">
        <v>377</v>
      </c>
      <c r="P5" s="8" t="s">
        <v>19</v>
      </c>
      <c r="Q5" s="8" t="s">
        <v>28</v>
      </c>
      <c r="R5" s="27" t="s">
        <v>142</v>
      </c>
      <c r="S5" s="407"/>
    </row>
    <row r="6" spans="1:20" ht="15" thickTop="1" x14ac:dyDescent="0.35">
      <c r="B6" s="310" t="s">
        <v>3</v>
      </c>
      <c r="C6" s="304" t="s">
        <v>60</v>
      </c>
      <c r="D6" s="305" t="s">
        <v>118</v>
      </c>
      <c r="E6" s="305" t="s">
        <v>117</v>
      </c>
      <c r="F6" s="305" t="s">
        <v>62</v>
      </c>
      <c r="G6" s="305" t="s">
        <v>34</v>
      </c>
      <c r="H6" s="305" t="s">
        <v>69</v>
      </c>
      <c r="I6" s="305" t="s">
        <v>87</v>
      </c>
      <c r="J6" s="305" t="s">
        <v>73</v>
      </c>
      <c r="K6" s="305" t="s">
        <v>76</v>
      </c>
      <c r="L6" s="305" t="s">
        <v>33</v>
      </c>
      <c r="M6" s="305" t="s">
        <v>71</v>
      </c>
      <c r="N6" s="305" t="s">
        <v>72</v>
      </c>
      <c r="O6" s="305" t="s">
        <v>58</v>
      </c>
      <c r="P6" s="305" t="s">
        <v>64</v>
      </c>
      <c r="Q6" s="305" t="s">
        <v>68</v>
      </c>
      <c r="R6" s="311" t="s">
        <v>89</v>
      </c>
      <c r="S6" s="259">
        <f>SUM(C25:R25)</f>
        <v>12</v>
      </c>
    </row>
    <row r="7" spans="1:20" x14ac:dyDescent="0.35">
      <c r="B7" s="302" t="s">
        <v>29</v>
      </c>
      <c r="C7" s="300" t="s">
        <v>60</v>
      </c>
      <c r="D7" s="298" t="s">
        <v>121</v>
      </c>
      <c r="E7" s="298" t="s">
        <v>117</v>
      </c>
      <c r="F7" s="298" t="s">
        <v>62</v>
      </c>
      <c r="G7" s="298" t="s">
        <v>34</v>
      </c>
      <c r="H7" s="298" t="s">
        <v>69</v>
      </c>
      <c r="I7" s="298" t="s">
        <v>87</v>
      </c>
      <c r="J7" s="298" t="s">
        <v>73</v>
      </c>
      <c r="K7" s="298" t="s">
        <v>76</v>
      </c>
      <c r="L7" s="298" t="s">
        <v>33</v>
      </c>
      <c r="M7" s="298" t="s">
        <v>71</v>
      </c>
      <c r="N7" s="298" t="s">
        <v>79</v>
      </c>
      <c r="O7" s="298" t="s">
        <v>58</v>
      </c>
      <c r="P7" s="298" t="s">
        <v>67</v>
      </c>
      <c r="Q7" s="298" t="s">
        <v>90</v>
      </c>
      <c r="R7" s="312" t="s">
        <v>89</v>
      </c>
      <c r="S7" s="263">
        <f t="shared" ref="S7:S19" si="0">SUM(C26:R26)</f>
        <v>12</v>
      </c>
    </row>
    <row r="8" spans="1:20" x14ac:dyDescent="0.35">
      <c r="B8" s="302" t="s">
        <v>30</v>
      </c>
      <c r="C8" s="300" t="s">
        <v>60</v>
      </c>
      <c r="D8" s="298" t="s">
        <v>118</v>
      </c>
      <c r="E8" s="298" t="s">
        <v>117</v>
      </c>
      <c r="F8" s="298" t="s">
        <v>62</v>
      </c>
      <c r="G8" s="298" t="s">
        <v>120</v>
      </c>
      <c r="H8" s="298" t="s">
        <v>69</v>
      </c>
      <c r="I8" s="298" t="s">
        <v>87</v>
      </c>
      <c r="J8" s="298" t="s">
        <v>61</v>
      </c>
      <c r="K8" s="298" t="s">
        <v>76</v>
      </c>
      <c r="L8" s="298" t="s">
        <v>33</v>
      </c>
      <c r="M8" s="298" t="s">
        <v>75</v>
      </c>
      <c r="N8" s="298" t="s">
        <v>72</v>
      </c>
      <c r="O8" s="298" t="s">
        <v>58</v>
      </c>
      <c r="P8" s="298" t="s">
        <v>67</v>
      </c>
      <c r="Q8" s="298" t="s">
        <v>90</v>
      </c>
      <c r="R8" s="312" t="s">
        <v>89</v>
      </c>
      <c r="S8" s="269">
        <f t="shared" si="0"/>
        <v>9</v>
      </c>
    </row>
    <row r="9" spans="1:20" x14ac:dyDescent="0.35">
      <c r="B9" s="302" t="s">
        <v>31</v>
      </c>
      <c r="C9" s="301" t="s">
        <v>74</v>
      </c>
      <c r="D9" s="299" t="s">
        <v>118</v>
      </c>
      <c r="E9" s="299" t="s">
        <v>117</v>
      </c>
      <c r="F9" s="299" t="s">
        <v>62</v>
      </c>
      <c r="G9" s="299" t="s">
        <v>34</v>
      </c>
      <c r="H9" s="299" t="s">
        <v>69</v>
      </c>
      <c r="I9" s="299" t="s">
        <v>87</v>
      </c>
      <c r="J9" s="299" t="s">
        <v>61</v>
      </c>
      <c r="K9" s="299" t="s">
        <v>65</v>
      </c>
      <c r="L9" s="299" t="s">
        <v>119</v>
      </c>
      <c r="M9" s="299" t="s">
        <v>71</v>
      </c>
      <c r="N9" s="299" t="s">
        <v>72</v>
      </c>
      <c r="O9" s="299" t="s">
        <v>58</v>
      </c>
      <c r="P9" s="299" t="s">
        <v>64</v>
      </c>
      <c r="Q9" s="299" t="s">
        <v>90</v>
      </c>
      <c r="R9" s="313" t="s">
        <v>89</v>
      </c>
      <c r="S9" s="263">
        <f t="shared" si="0"/>
        <v>7</v>
      </c>
    </row>
    <row r="10" spans="1:20" x14ac:dyDescent="0.35">
      <c r="B10" s="302" t="s">
        <v>32</v>
      </c>
      <c r="C10" s="300" t="s">
        <v>60</v>
      </c>
      <c r="D10" s="298" t="s">
        <v>121</v>
      </c>
      <c r="E10" s="298" t="s">
        <v>117</v>
      </c>
      <c r="F10" s="298" t="s">
        <v>62</v>
      </c>
      <c r="G10" s="298" t="s">
        <v>34</v>
      </c>
      <c r="H10" s="298" t="s">
        <v>69</v>
      </c>
      <c r="I10" s="298" t="s">
        <v>87</v>
      </c>
      <c r="J10" s="298" t="s">
        <v>73</v>
      </c>
      <c r="K10" s="298" t="s">
        <v>76</v>
      </c>
      <c r="L10" s="298" t="s">
        <v>33</v>
      </c>
      <c r="M10" s="298" t="s">
        <v>71</v>
      </c>
      <c r="N10" s="298" t="s">
        <v>72</v>
      </c>
      <c r="O10" s="298" t="s">
        <v>58</v>
      </c>
      <c r="P10" s="298" t="s">
        <v>67</v>
      </c>
      <c r="Q10" s="298" t="s">
        <v>90</v>
      </c>
      <c r="R10" s="312" t="s">
        <v>89</v>
      </c>
      <c r="S10" s="269">
        <f t="shared" si="0"/>
        <v>11</v>
      </c>
    </row>
    <row r="11" spans="1:20" x14ac:dyDescent="0.35">
      <c r="B11" s="302" t="s">
        <v>35</v>
      </c>
      <c r="C11" s="300" t="s">
        <v>60</v>
      </c>
      <c r="D11" s="298" t="s">
        <v>121</v>
      </c>
      <c r="E11" s="298" t="s">
        <v>117</v>
      </c>
      <c r="F11" s="298" t="s">
        <v>62</v>
      </c>
      <c r="G11" s="298" t="s">
        <v>34</v>
      </c>
      <c r="H11" s="298" t="s">
        <v>69</v>
      </c>
      <c r="I11" s="298" t="s">
        <v>87</v>
      </c>
      <c r="J11" s="298" t="s">
        <v>73</v>
      </c>
      <c r="K11" s="298" t="s">
        <v>76</v>
      </c>
      <c r="L11" s="298" t="s">
        <v>119</v>
      </c>
      <c r="M11" s="298" t="s">
        <v>71</v>
      </c>
      <c r="N11" s="298" t="s">
        <v>79</v>
      </c>
      <c r="O11" s="298" t="s">
        <v>58</v>
      </c>
      <c r="P11" s="298" t="s">
        <v>64</v>
      </c>
      <c r="Q11" s="298" t="s">
        <v>68</v>
      </c>
      <c r="R11" s="312" t="s">
        <v>89</v>
      </c>
      <c r="S11" s="263">
        <f t="shared" si="0"/>
        <v>13</v>
      </c>
    </row>
    <row r="12" spans="1:20" x14ac:dyDescent="0.35">
      <c r="B12" s="303" t="s">
        <v>36</v>
      </c>
      <c r="C12" s="300" t="s">
        <v>60</v>
      </c>
      <c r="D12" s="298" t="s">
        <v>118</v>
      </c>
      <c r="E12" s="298" t="s">
        <v>117</v>
      </c>
      <c r="F12" s="298" t="s">
        <v>62</v>
      </c>
      <c r="G12" s="298" t="s">
        <v>34</v>
      </c>
      <c r="H12" s="298" t="s">
        <v>69</v>
      </c>
      <c r="I12" s="298" t="s">
        <v>87</v>
      </c>
      <c r="J12" s="298" t="s">
        <v>73</v>
      </c>
      <c r="K12" s="298" t="s">
        <v>76</v>
      </c>
      <c r="L12" s="298" t="s">
        <v>33</v>
      </c>
      <c r="M12" s="298" t="s">
        <v>71</v>
      </c>
      <c r="N12" s="298" t="s">
        <v>79</v>
      </c>
      <c r="O12" s="298" t="s">
        <v>58</v>
      </c>
      <c r="P12" s="298" t="s">
        <v>67</v>
      </c>
      <c r="Q12" s="298" t="s">
        <v>90</v>
      </c>
      <c r="R12" s="312" t="s">
        <v>89</v>
      </c>
      <c r="S12" s="269">
        <f t="shared" si="0"/>
        <v>11</v>
      </c>
    </row>
    <row r="13" spans="1:20" x14ac:dyDescent="0.35">
      <c r="B13" s="303" t="s">
        <v>37</v>
      </c>
      <c r="C13" s="300" t="s">
        <v>60</v>
      </c>
      <c r="D13" s="298" t="s">
        <v>118</v>
      </c>
      <c r="E13" s="298" t="s">
        <v>117</v>
      </c>
      <c r="F13" s="298" t="s">
        <v>62</v>
      </c>
      <c r="G13" s="298" t="s">
        <v>34</v>
      </c>
      <c r="H13" s="298" t="s">
        <v>69</v>
      </c>
      <c r="I13" s="298" t="s">
        <v>87</v>
      </c>
      <c r="J13" s="298" t="s">
        <v>73</v>
      </c>
      <c r="K13" s="298" t="s">
        <v>76</v>
      </c>
      <c r="L13" s="298" t="s">
        <v>119</v>
      </c>
      <c r="M13" s="298" t="s">
        <v>71</v>
      </c>
      <c r="N13" s="298" t="s">
        <v>79</v>
      </c>
      <c r="O13" s="298" t="s">
        <v>58</v>
      </c>
      <c r="P13" s="298" t="s">
        <v>67</v>
      </c>
      <c r="Q13" s="298" t="s">
        <v>90</v>
      </c>
      <c r="R13" s="312" t="s">
        <v>89</v>
      </c>
      <c r="S13" s="263">
        <f t="shared" si="0"/>
        <v>10</v>
      </c>
    </row>
    <row r="14" spans="1:20" x14ac:dyDescent="0.35">
      <c r="B14" s="303" t="s">
        <v>57</v>
      </c>
      <c r="C14" s="300" t="s">
        <v>60</v>
      </c>
      <c r="D14" s="298" t="s">
        <v>121</v>
      </c>
      <c r="E14" s="298" t="s">
        <v>117</v>
      </c>
      <c r="F14" s="298" t="s">
        <v>63</v>
      </c>
      <c r="G14" s="298" t="s">
        <v>34</v>
      </c>
      <c r="H14" s="298" t="s">
        <v>66</v>
      </c>
      <c r="I14" s="298" t="s">
        <v>87</v>
      </c>
      <c r="J14" s="298" t="s">
        <v>73</v>
      </c>
      <c r="K14" s="298" t="s">
        <v>76</v>
      </c>
      <c r="L14" s="298" t="s">
        <v>33</v>
      </c>
      <c r="M14" s="298" t="s">
        <v>75</v>
      </c>
      <c r="N14" s="298" t="s">
        <v>72</v>
      </c>
      <c r="O14" s="298" t="s">
        <v>58</v>
      </c>
      <c r="P14" s="298" t="s">
        <v>64</v>
      </c>
      <c r="Q14" s="298" t="s">
        <v>68</v>
      </c>
      <c r="R14" s="312" t="s">
        <v>89</v>
      </c>
      <c r="S14" s="269">
        <f t="shared" si="0"/>
        <v>12</v>
      </c>
    </row>
    <row r="15" spans="1:20" s="185" customFormat="1" x14ac:dyDescent="0.35">
      <c r="B15" s="303" t="s">
        <v>379</v>
      </c>
      <c r="C15" s="300" t="s">
        <v>60</v>
      </c>
      <c r="D15" s="298" t="s">
        <v>121</v>
      </c>
      <c r="E15" s="298" t="s">
        <v>117</v>
      </c>
      <c r="F15" s="298" t="s">
        <v>62</v>
      </c>
      <c r="G15" s="298" t="s">
        <v>120</v>
      </c>
      <c r="H15" s="298" t="s">
        <v>69</v>
      </c>
      <c r="I15" s="298" t="s">
        <v>87</v>
      </c>
      <c r="J15" s="298" t="s">
        <v>73</v>
      </c>
      <c r="K15" s="298" t="s">
        <v>76</v>
      </c>
      <c r="L15" s="298" t="s">
        <v>33</v>
      </c>
      <c r="M15" s="298" t="s">
        <v>71</v>
      </c>
      <c r="N15" s="298" t="s">
        <v>72</v>
      </c>
      <c r="O15" s="298" t="s">
        <v>58</v>
      </c>
      <c r="P15" s="298" t="s">
        <v>64</v>
      </c>
      <c r="Q15" s="298" t="s">
        <v>90</v>
      </c>
      <c r="R15" s="312" t="s">
        <v>89</v>
      </c>
      <c r="S15" s="263">
        <f t="shared" si="0"/>
        <v>13</v>
      </c>
    </row>
    <row r="16" spans="1:20" s="185" customFormat="1" x14ac:dyDescent="0.35">
      <c r="B16" s="303" t="s">
        <v>380</v>
      </c>
      <c r="C16" s="300" t="s">
        <v>60</v>
      </c>
      <c r="D16" s="298" t="s">
        <v>118</v>
      </c>
      <c r="E16" s="298" t="s">
        <v>117</v>
      </c>
      <c r="F16" s="298" t="s">
        <v>62</v>
      </c>
      <c r="G16" s="298" t="s">
        <v>120</v>
      </c>
      <c r="H16" s="298" t="s">
        <v>69</v>
      </c>
      <c r="I16" s="298" t="s">
        <v>87</v>
      </c>
      <c r="J16" s="298" t="s">
        <v>61</v>
      </c>
      <c r="K16" s="298" t="s">
        <v>76</v>
      </c>
      <c r="L16" s="298" t="s">
        <v>33</v>
      </c>
      <c r="M16" s="298" t="s">
        <v>75</v>
      </c>
      <c r="N16" s="298" t="s">
        <v>72</v>
      </c>
      <c r="O16" s="298" t="s">
        <v>58</v>
      </c>
      <c r="P16" s="298" t="s">
        <v>67</v>
      </c>
      <c r="Q16" s="298" t="s">
        <v>90</v>
      </c>
      <c r="R16" s="312" t="s">
        <v>89</v>
      </c>
      <c r="S16" s="269">
        <f t="shared" si="0"/>
        <v>9</v>
      </c>
    </row>
    <row r="17" spans="2:20" s="185" customFormat="1" x14ac:dyDescent="0.35">
      <c r="B17" s="303" t="s">
        <v>381</v>
      </c>
      <c r="C17" s="300" t="s">
        <v>60</v>
      </c>
      <c r="D17" s="298" t="s">
        <v>118</v>
      </c>
      <c r="E17" s="298" t="s">
        <v>117</v>
      </c>
      <c r="F17" s="298" t="s">
        <v>62</v>
      </c>
      <c r="G17" s="298" t="s">
        <v>120</v>
      </c>
      <c r="H17" s="298" t="s">
        <v>69</v>
      </c>
      <c r="I17" s="298" t="s">
        <v>87</v>
      </c>
      <c r="J17" s="298" t="s">
        <v>61</v>
      </c>
      <c r="K17" s="298" t="s">
        <v>76</v>
      </c>
      <c r="L17" s="298" t="s">
        <v>33</v>
      </c>
      <c r="M17" s="298" t="s">
        <v>71</v>
      </c>
      <c r="N17" s="298" t="s">
        <v>72</v>
      </c>
      <c r="O17" s="298" t="s">
        <v>58</v>
      </c>
      <c r="P17" s="298" t="s">
        <v>64</v>
      </c>
      <c r="Q17" s="298" t="s">
        <v>68</v>
      </c>
      <c r="R17" s="312" t="s">
        <v>91</v>
      </c>
      <c r="S17" s="263">
        <f t="shared" si="0"/>
        <v>11</v>
      </c>
      <c r="T17" s="272">
        <v>5</v>
      </c>
    </row>
    <row r="18" spans="2:20" s="185" customFormat="1" x14ac:dyDescent="0.35">
      <c r="B18" s="303" t="s">
        <v>387</v>
      </c>
      <c r="C18" s="300" t="s">
        <v>60</v>
      </c>
      <c r="D18" s="298" t="s">
        <v>118</v>
      </c>
      <c r="E18" s="298" t="s">
        <v>117</v>
      </c>
      <c r="F18" s="298" t="s">
        <v>62</v>
      </c>
      <c r="G18" s="298" t="s">
        <v>34</v>
      </c>
      <c r="H18" s="298" t="s">
        <v>69</v>
      </c>
      <c r="I18" s="298" t="s">
        <v>87</v>
      </c>
      <c r="J18" s="298" t="s">
        <v>73</v>
      </c>
      <c r="K18" s="298" t="s">
        <v>76</v>
      </c>
      <c r="L18" s="298" t="s">
        <v>33</v>
      </c>
      <c r="M18" s="298" t="s">
        <v>71</v>
      </c>
      <c r="N18" s="298" t="s">
        <v>79</v>
      </c>
      <c r="O18" s="298" t="s">
        <v>58</v>
      </c>
      <c r="P18" s="298" t="s">
        <v>67</v>
      </c>
      <c r="Q18" s="298" t="s">
        <v>90</v>
      </c>
      <c r="R18" s="312" t="s">
        <v>89</v>
      </c>
      <c r="S18" s="269">
        <f t="shared" si="0"/>
        <v>11</v>
      </c>
    </row>
    <row r="19" spans="2:20" s="185" customFormat="1" ht="15" thickBot="1" x14ac:dyDescent="0.4">
      <c r="B19" s="309" t="s">
        <v>389</v>
      </c>
      <c r="C19" s="307" t="s">
        <v>60</v>
      </c>
      <c r="D19" s="308" t="s">
        <v>118</v>
      </c>
      <c r="E19" s="308" t="s">
        <v>117</v>
      </c>
      <c r="F19" s="308" t="s">
        <v>62</v>
      </c>
      <c r="G19" s="308" t="s">
        <v>120</v>
      </c>
      <c r="H19" s="308" t="s">
        <v>69</v>
      </c>
      <c r="I19" s="308" t="s">
        <v>87</v>
      </c>
      <c r="J19" s="308" t="s">
        <v>73</v>
      </c>
      <c r="K19" s="308" t="s">
        <v>76</v>
      </c>
      <c r="L19" s="308" t="s">
        <v>33</v>
      </c>
      <c r="M19" s="308" t="s">
        <v>71</v>
      </c>
      <c r="N19" s="308" t="s">
        <v>72</v>
      </c>
      <c r="O19" s="308" t="s">
        <v>58</v>
      </c>
      <c r="P19" s="308" t="s">
        <v>64</v>
      </c>
      <c r="Q19" s="308" t="s">
        <v>68</v>
      </c>
      <c r="R19" s="314" t="s">
        <v>89</v>
      </c>
      <c r="S19" s="264">
        <f t="shared" si="0"/>
        <v>13</v>
      </c>
    </row>
    <row r="20" spans="2:20" ht="15.5" thickTop="1" thickBot="1" x14ac:dyDescent="0.4">
      <c r="B20" s="167" t="s">
        <v>183</v>
      </c>
      <c r="C20" s="60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02"/>
    </row>
    <row r="21" spans="2:20" ht="15" thickTop="1" x14ac:dyDescent="0.35"/>
    <row r="23" spans="2:20" ht="15" thickBot="1" x14ac:dyDescent="0.4">
      <c r="B23" s="178" t="s">
        <v>0</v>
      </c>
      <c r="C23" s="179" t="s">
        <v>307</v>
      </c>
      <c r="D23" s="179" t="s">
        <v>308</v>
      </c>
      <c r="E23" s="179" t="s">
        <v>309</v>
      </c>
      <c r="F23" s="179" t="s">
        <v>310</v>
      </c>
      <c r="G23" s="179" t="s">
        <v>311</v>
      </c>
      <c r="H23" s="179" t="s">
        <v>312</v>
      </c>
      <c r="I23" s="179" t="s">
        <v>313</v>
      </c>
      <c r="J23" s="179" t="s">
        <v>314</v>
      </c>
      <c r="K23" s="179" t="s">
        <v>315</v>
      </c>
      <c r="L23" s="179" t="s">
        <v>316</v>
      </c>
      <c r="M23" s="179" t="s">
        <v>317</v>
      </c>
      <c r="N23" s="179" t="s">
        <v>318</v>
      </c>
      <c r="O23" s="179" t="s">
        <v>319</v>
      </c>
      <c r="P23" s="179" t="s">
        <v>320</v>
      </c>
      <c r="Q23" t="s">
        <v>427</v>
      </c>
      <c r="R23" s="179" t="s">
        <v>321</v>
      </c>
    </row>
    <row r="24" spans="2:20" ht="15.5" thickTop="1" thickBot="1" x14ac:dyDescent="0.4">
      <c r="B24" s="288" t="s">
        <v>1</v>
      </c>
      <c r="C24" s="219" t="s">
        <v>20</v>
      </c>
      <c r="D24" s="219" t="s">
        <v>392</v>
      </c>
      <c r="E24" s="219" t="s">
        <v>428</v>
      </c>
      <c r="F24" s="219" t="s">
        <v>144</v>
      </c>
      <c r="G24" s="219" t="s">
        <v>27</v>
      </c>
      <c r="H24" s="219" t="s">
        <v>141</v>
      </c>
      <c r="I24" s="219" t="s">
        <v>115</v>
      </c>
      <c r="J24" s="219" t="s">
        <v>111</v>
      </c>
      <c r="K24" s="219" t="s">
        <v>163</v>
      </c>
      <c r="L24" s="219" t="s">
        <v>27</v>
      </c>
      <c r="M24" s="219" t="s">
        <v>181</v>
      </c>
      <c r="N24" s="219" t="s">
        <v>27</v>
      </c>
      <c r="O24" s="219" t="s">
        <v>377</v>
      </c>
      <c r="P24" s="219" t="s">
        <v>19</v>
      </c>
      <c r="Q24" s="219" t="s">
        <v>28</v>
      </c>
      <c r="R24" s="219" t="s">
        <v>142</v>
      </c>
    </row>
    <row r="25" spans="2:20" ht="15" thickBot="1" x14ac:dyDescent="0.4">
      <c r="B25" s="289" t="s">
        <v>3</v>
      </c>
      <c r="C25" s="285">
        <f>IF(C6="kc",1,"-")</f>
        <v>1</v>
      </c>
      <c r="D25" s="285" t="str">
        <f>IF(D6="mia",1,"-")</f>
        <v>-</v>
      </c>
      <c r="E25" s="285">
        <f>IF(E6="det",1,"-")</f>
        <v>1</v>
      </c>
      <c r="F25" s="285">
        <f>IF(F6="cin",1,"-")</f>
        <v>1</v>
      </c>
      <c r="G25" s="285" t="str">
        <f>IF(G6="ten",1,"-")</f>
        <v>-</v>
      </c>
      <c r="H25" s="285" t="str">
        <f>IF(H6="hou",1,"-")</f>
        <v>-</v>
      </c>
      <c r="I25" s="285">
        <f>IF(I6="min",1,"-")</f>
        <v>1</v>
      </c>
      <c r="J25" s="285">
        <f>IF(J6="tb",1,"-")</f>
        <v>1</v>
      </c>
      <c r="K25" s="285">
        <f>IF(K6="pit",1,"-")</f>
        <v>1</v>
      </c>
      <c r="L25" s="285">
        <f>IF(L6="car",1,"-")</f>
        <v>1</v>
      </c>
      <c r="M25" s="285">
        <f>IF(M6="was",1,"-")</f>
        <v>1</v>
      </c>
      <c r="N25" s="285" t="str">
        <f>IF(N6="nyj",1,"-")</f>
        <v>-</v>
      </c>
      <c r="O25" s="285">
        <f>IF(O6="atl",1,"-")</f>
        <v>1</v>
      </c>
      <c r="P25" s="285">
        <f>IF(P6="gb",1,"-")</f>
        <v>1</v>
      </c>
      <c r="Q25" s="285">
        <f>IF(Q6="nyg",1,"-")</f>
        <v>1</v>
      </c>
      <c r="R25" s="285">
        <f>IF(R6="ne",1,"-")</f>
        <v>1</v>
      </c>
    </row>
    <row r="26" spans="2:20" ht="15" thickBot="1" x14ac:dyDescent="0.4">
      <c r="B26" s="290" t="s">
        <v>29</v>
      </c>
      <c r="C26" s="285">
        <f t="shared" ref="C26:C38" si="1">IF(C7="kc",1,"-")</f>
        <v>1</v>
      </c>
      <c r="D26" s="285">
        <f t="shared" ref="D26:D38" si="2">IF(D7="mia",1,"-")</f>
        <v>1</v>
      </c>
      <c r="E26" s="286">
        <f t="shared" ref="E26:E38" si="3">IF(E7="det",1,"-")</f>
        <v>1</v>
      </c>
      <c r="F26" s="285">
        <f t="shared" ref="F26:F38" si="4">IF(F7="cin",1,"-")</f>
        <v>1</v>
      </c>
      <c r="G26" s="285" t="str">
        <f t="shared" ref="G26:G38" si="5">IF(G7="ten",1,"-")</f>
        <v>-</v>
      </c>
      <c r="H26" s="285" t="str">
        <f t="shared" ref="H26:H38" si="6">IF(H7="hou",1,"-")</f>
        <v>-</v>
      </c>
      <c r="I26" s="285">
        <f t="shared" ref="I26:I38" si="7">IF(I7="min",1,"-")</f>
        <v>1</v>
      </c>
      <c r="J26" s="285">
        <f t="shared" ref="J26:J38" si="8">IF(J7="tb",1,"-")</f>
        <v>1</v>
      </c>
      <c r="K26" s="285">
        <f t="shared" ref="K26:K38" si="9">IF(K7="pit",1,"-")</f>
        <v>1</v>
      </c>
      <c r="L26" s="285">
        <f t="shared" ref="L26:L38" si="10">IF(L7="car",1,"-")</f>
        <v>1</v>
      </c>
      <c r="M26" s="285">
        <f t="shared" ref="M26:M38" si="11">IF(M7="was",1,"-")</f>
        <v>1</v>
      </c>
      <c r="N26" s="285">
        <f t="shared" ref="N26:N38" si="12">IF(N7="nyj",1,"-")</f>
        <v>1</v>
      </c>
      <c r="O26" s="285">
        <f t="shared" ref="O26:O38" si="13">IF(O7="atl",1,"-")</f>
        <v>1</v>
      </c>
      <c r="P26" s="285" t="str">
        <f t="shared" ref="P26:P38" si="14">IF(P7="gb",1,"-")</f>
        <v>-</v>
      </c>
      <c r="Q26" s="285" t="str">
        <f t="shared" ref="Q26:Q38" si="15">IF(Q7="nyg",1,"-")</f>
        <v>-</v>
      </c>
      <c r="R26" s="285">
        <f t="shared" ref="R26:R38" si="16">IF(R7="ne",1,"-")</f>
        <v>1</v>
      </c>
    </row>
    <row r="27" spans="2:20" ht="15" thickBot="1" x14ac:dyDescent="0.4">
      <c r="B27" s="289" t="s">
        <v>30</v>
      </c>
      <c r="C27" s="285">
        <f t="shared" si="1"/>
        <v>1</v>
      </c>
      <c r="D27" s="285" t="str">
        <f t="shared" si="2"/>
        <v>-</v>
      </c>
      <c r="E27" s="285">
        <f t="shared" si="3"/>
        <v>1</v>
      </c>
      <c r="F27" s="285">
        <f t="shared" si="4"/>
        <v>1</v>
      </c>
      <c r="G27" s="285">
        <f t="shared" si="5"/>
        <v>1</v>
      </c>
      <c r="H27" s="285" t="str">
        <f t="shared" si="6"/>
        <v>-</v>
      </c>
      <c r="I27" s="285">
        <f t="shared" si="7"/>
        <v>1</v>
      </c>
      <c r="J27" s="285" t="str">
        <f t="shared" si="8"/>
        <v>-</v>
      </c>
      <c r="K27" s="285">
        <f t="shared" si="9"/>
        <v>1</v>
      </c>
      <c r="L27" s="285">
        <f t="shared" si="10"/>
        <v>1</v>
      </c>
      <c r="M27" s="285" t="str">
        <f t="shared" si="11"/>
        <v>-</v>
      </c>
      <c r="N27" s="285" t="str">
        <f t="shared" si="12"/>
        <v>-</v>
      </c>
      <c r="O27" s="285">
        <f t="shared" si="13"/>
        <v>1</v>
      </c>
      <c r="P27" s="285" t="str">
        <f t="shared" si="14"/>
        <v>-</v>
      </c>
      <c r="Q27" s="285" t="str">
        <f t="shared" si="15"/>
        <v>-</v>
      </c>
      <c r="R27" s="285">
        <f t="shared" si="16"/>
        <v>1</v>
      </c>
    </row>
    <row r="28" spans="2:20" ht="15" thickBot="1" x14ac:dyDescent="0.4">
      <c r="B28" s="290" t="s">
        <v>31</v>
      </c>
      <c r="C28" s="285" t="str">
        <f t="shared" si="1"/>
        <v>-</v>
      </c>
      <c r="D28" s="285" t="str">
        <f t="shared" si="2"/>
        <v>-</v>
      </c>
      <c r="E28" s="286">
        <f t="shared" si="3"/>
        <v>1</v>
      </c>
      <c r="F28" s="285">
        <f t="shared" si="4"/>
        <v>1</v>
      </c>
      <c r="G28" s="285" t="str">
        <f t="shared" si="5"/>
        <v>-</v>
      </c>
      <c r="H28" s="285" t="str">
        <f t="shared" si="6"/>
        <v>-</v>
      </c>
      <c r="I28" s="285">
        <f t="shared" si="7"/>
        <v>1</v>
      </c>
      <c r="J28" s="285" t="str">
        <f t="shared" si="8"/>
        <v>-</v>
      </c>
      <c r="K28" s="285" t="str">
        <f t="shared" si="9"/>
        <v>-</v>
      </c>
      <c r="L28" s="285" t="str">
        <f t="shared" si="10"/>
        <v>-</v>
      </c>
      <c r="M28" s="285">
        <f t="shared" si="11"/>
        <v>1</v>
      </c>
      <c r="N28" s="285" t="str">
        <f t="shared" si="12"/>
        <v>-</v>
      </c>
      <c r="O28" s="285">
        <f t="shared" si="13"/>
        <v>1</v>
      </c>
      <c r="P28" s="285">
        <f t="shared" si="14"/>
        <v>1</v>
      </c>
      <c r="Q28" s="285" t="str">
        <f t="shared" si="15"/>
        <v>-</v>
      </c>
      <c r="R28" s="285">
        <f t="shared" si="16"/>
        <v>1</v>
      </c>
    </row>
    <row r="29" spans="2:20" ht="15" thickBot="1" x14ac:dyDescent="0.4">
      <c r="B29" s="289" t="s">
        <v>32</v>
      </c>
      <c r="C29" s="285">
        <f t="shared" si="1"/>
        <v>1</v>
      </c>
      <c r="D29" s="285">
        <f t="shared" si="2"/>
        <v>1</v>
      </c>
      <c r="E29" s="285">
        <f t="shared" si="3"/>
        <v>1</v>
      </c>
      <c r="F29" s="285">
        <f t="shared" si="4"/>
        <v>1</v>
      </c>
      <c r="G29" s="285" t="str">
        <f t="shared" si="5"/>
        <v>-</v>
      </c>
      <c r="H29" s="285" t="str">
        <f t="shared" si="6"/>
        <v>-</v>
      </c>
      <c r="I29" s="285">
        <f t="shared" si="7"/>
        <v>1</v>
      </c>
      <c r="J29" s="285">
        <f t="shared" si="8"/>
        <v>1</v>
      </c>
      <c r="K29" s="285">
        <f t="shared" si="9"/>
        <v>1</v>
      </c>
      <c r="L29" s="285">
        <f t="shared" si="10"/>
        <v>1</v>
      </c>
      <c r="M29" s="285">
        <f t="shared" si="11"/>
        <v>1</v>
      </c>
      <c r="N29" s="285" t="str">
        <f t="shared" si="12"/>
        <v>-</v>
      </c>
      <c r="O29" s="285">
        <f t="shared" si="13"/>
        <v>1</v>
      </c>
      <c r="P29" s="285" t="str">
        <f t="shared" si="14"/>
        <v>-</v>
      </c>
      <c r="Q29" s="285" t="str">
        <f t="shared" si="15"/>
        <v>-</v>
      </c>
      <c r="R29" s="285">
        <f t="shared" si="16"/>
        <v>1</v>
      </c>
    </row>
    <row r="30" spans="2:20" ht="15" thickBot="1" x14ac:dyDescent="0.4">
      <c r="B30" s="290" t="s">
        <v>35</v>
      </c>
      <c r="C30" s="285">
        <f t="shared" si="1"/>
        <v>1</v>
      </c>
      <c r="D30" s="285">
        <f t="shared" si="2"/>
        <v>1</v>
      </c>
      <c r="E30" s="286">
        <f t="shared" si="3"/>
        <v>1</v>
      </c>
      <c r="F30" s="285">
        <f t="shared" si="4"/>
        <v>1</v>
      </c>
      <c r="G30" s="285" t="str">
        <f t="shared" si="5"/>
        <v>-</v>
      </c>
      <c r="H30" s="285" t="str">
        <f t="shared" si="6"/>
        <v>-</v>
      </c>
      <c r="I30" s="285">
        <f t="shared" si="7"/>
        <v>1</v>
      </c>
      <c r="J30" s="285">
        <f t="shared" si="8"/>
        <v>1</v>
      </c>
      <c r="K30" s="285">
        <f t="shared" si="9"/>
        <v>1</v>
      </c>
      <c r="L30" s="285" t="str">
        <f t="shared" si="10"/>
        <v>-</v>
      </c>
      <c r="M30" s="285">
        <f t="shared" si="11"/>
        <v>1</v>
      </c>
      <c r="N30" s="285">
        <f t="shared" si="12"/>
        <v>1</v>
      </c>
      <c r="O30" s="285">
        <f t="shared" si="13"/>
        <v>1</v>
      </c>
      <c r="P30" s="285">
        <f t="shared" si="14"/>
        <v>1</v>
      </c>
      <c r="Q30" s="285">
        <f t="shared" si="15"/>
        <v>1</v>
      </c>
      <c r="R30" s="285">
        <f t="shared" si="16"/>
        <v>1</v>
      </c>
    </row>
    <row r="31" spans="2:20" ht="15" thickBot="1" x14ac:dyDescent="0.4">
      <c r="B31" s="289" t="s">
        <v>36</v>
      </c>
      <c r="C31" s="285">
        <f t="shared" si="1"/>
        <v>1</v>
      </c>
      <c r="D31" s="285" t="str">
        <f t="shared" si="2"/>
        <v>-</v>
      </c>
      <c r="E31" s="285">
        <f t="shared" si="3"/>
        <v>1</v>
      </c>
      <c r="F31" s="285">
        <f t="shared" si="4"/>
        <v>1</v>
      </c>
      <c r="G31" s="285" t="str">
        <f t="shared" si="5"/>
        <v>-</v>
      </c>
      <c r="H31" s="285" t="str">
        <f t="shared" si="6"/>
        <v>-</v>
      </c>
      <c r="I31" s="285">
        <f t="shared" si="7"/>
        <v>1</v>
      </c>
      <c r="J31" s="285">
        <f t="shared" si="8"/>
        <v>1</v>
      </c>
      <c r="K31" s="285">
        <f t="shared" si="9"/>
        <v>1</v>
      </c>
      <c r="L31" s="285">
        <f t="shared" si="10"/>
        <v>1</v>
      </c>
      <c r="M31" s="285">
        <f t="shared" si="11"/>
        <v>1</v>
      </c>
      <c r="N31" s="285">
        <f t="shared" si="12"/>
        <v>1</v>
      </c>
      <c r="O31" s="285">
        <f t="shared" si="13"/>
        <v>1</v>
      </c>
      <c r="P31" s="285" t="str">
        <f t="shared" si="14"/>
        <v>-</v>
      </c>
      <c r="Q31" s="285" t="str">
        <f t="shared" si="15"/>
        <v>-</v>
      </c>
      <c r="R31" s="285">
        <f t="shared" si="16"/>
        <v>1</v>
      </c>
    </row>
    <row r="32" spans="2:20" ht="15" thickBot="1" x14ac:dyDescent="0.4">
      <c r="B32" s="290" t="s">
        <v>37</v>
      </c>
      <c r="C32" s="285">
        <f t="shared" si="1"/>
        <v>1</v>
      </c>
      <c r="D32" s="285" t="str">
        <f t="shared" si="2"/>
        <v>-</v>
      </c>
      <c r="E32" s="286">
        <f t="shared" si="3"/>
        <v>1</v>
      </c>
      <c r="F32" s="285">
        <f t="shared" si="4"/>
        <v>1</v>
      </c>
      <c r="G32" s="285" t="str">
        <f t="shared" si="5"/>
        <v>-</v>
      </c>
      <c r="H32" s="285" t="str">
        <f t="shared" si="6"/>
        <v>-</v>
      </c>
      <c r="I32" s="285">
        <f t="shared" si="7"/>
        <v>1</v>
      </c>
      <c r="J32" s="285">
        <f t="shared" si="8"/>
        <v>1</v>
      </c>
      <c r="K32" s="285">
        <f t="shared" si="9"/>
        <v>1</v>
      </c>
      <c r="L32" s="285" t="str">
        <f t="shared" si="10"/>
        <v>-</v>
      </c>
      <c r="M32" s="285">
        <f t="shared" si="11"/>
        <v>1</v>
      </c>
      <c r="N32" s="285">
        <f t="shared" si="12"/>
        <v>1</v>
      </c>
      <c r="O32" s="285">
        <f t="shared" si="13"/>
        <v>1</v>
      </c>
      <c r="P32" s="285" t="str">
        <f t="shared" si="14"/>
        <v>-</v>
      </c>
      <c r="Q32" s="285" t="str">
        <f t="shared" si="15"/>
        <v>-</v>
      </c>
      <c r="R32" s="285">
        <f t="shared" si="16"/>
        <v>1</v>
      </c>
    </row>
    <row r="33" spans="2:18" ht="15" thickBot="1" x14ac:dyDescent="0.4">
      <c r="B33" s="289" t="s">
        <v>57</v>
      </c>
      <c r="C33" s="285">
        <f t="shared" si="1"/>
        <v>1</v>
      </c>
      <c r="D33" s="285">
        <f t="shared" si="2"/>
        <v>1</v>
      </c>
      <c r="E33" s="285">
        <f t="shared" si="3"/>
        <v>1</v>
      </c>
      <c r="F33" s="285" t="str">
        <f t="shared" si="4"/>
        <v>-</v>
      </c>
      <c r="G33" s="285" t="str">
        <f t="shared" si="5"/>
        <v>-</v>
      </c>
      <c r="H33" s="285">
        <f t="shared" si="6"/>
        <v>1</v>
      </c>
      <c r="I33" s="285">
        <f t="shared" si="7"/>
        <v>1</v>
      </c>
      <c r="J33" s="285">
        <f t="shared" si="8"/>
        <v>1</v>
      </c>
      <c r="K33" s="285">
        <f t="shared" si="9"/>
        <v>1</v>
      </c>
      <c r="L33" s="285">
        <f t="shared" si="10"/>
        <v>1</v>
      </c>
      <c r="M33" s="285" t="str">
        <f t="shared" si="11"/>
        <v>-</v>
      </c>
      <c r="N33" s="285" t="str">
        <f t="shared" si="12"/>
        <v>-</v>
      </c>
      <c r="O33" s="285">
        <f t="shared" si="13"/>
        <v>1</v>
      </c>
      <c r="P33" s="285">
        <f t="shared" si="14"/>
        <v>1</v>
      </c>
      <c r="Q33" s="285">
        <f t="shared" si="15"/>
        <v>1</v>
      </c>
      <c r="R33" s="285">
        <f t="shared" si="16"/>
        <v>1</v>
      </c>
    </row>
    <row r="34" spans="2:18" ht="15" thickBot="1" x14ac:dyDescent="0.4">
      <c r="B34" s="290" t="s">
        <v>379</v>
      </c>
      <c r="C34" s="285">
        <f t="shared" si="1"/>
        <v>1</v>
      </c>
      <c r="D34" s="285">
        <f t="shared" si="2"/>
        <v>1</v>
      </c>
      <c r="E34" s="286">
        <f t="shared" si="3"/>
        <v>1</v>
      </c>
      <c r="F34" s="285">
        <f t="shared" si="4"/>
        <v>1</v>
      </c>
      <c r="G34" s="285">
        <f t="shared" si="5"/>
        <v>1</v>
      </c>
      <c r="H34" s="285" t="str">
        <f t="shared" si="6"/>
        <v>-</v>
      </c>
      <c r="I34" s="285">
        <f t="shared" si="7"/>
        <v>1</v>
      </c>
      <c r="J34" s="285">
        <f t="shared" si="8"/>
        <v>1</v>
      </c>
      <c r="K34" s="285">
        <f t="shared" si="9"/>
        <v>1</v>
      </c>
      <c r="L34" s="285">
        <f t="shared" si="10"/>
        <v>1</v>
      </c>
      <c r="M34" s="285">
        <f t="shared" si="11"/>
        <v>1</v>
      </c>
      <c r="N34" s="285" t="str">
        <f t="shared" si="12"/>
        <v>-</v>
      </c>
      <c r="O34" s="285">
        <f t="shared" si="13"/>
        <v>1</v>
      </c>
      <c r="P34" s="285">
        <f t="shared" si="14"/>
        <v>1</v>
      </c>
      <c r="Q34" s="285" t="str">
        <f t="shared" si="15"/>
        <v>-</v>
      </c>
      <c r="R34" s="285">
        <f t="shared" si="16"/>
        <v>1</v>
      </c>
    </row>
    <row r="35" spans="2:18" ht="15" thickBot="1" x14ac:dyDescent="0.4">
      <c r="B35" s="289" t="s">
        <v>380</v>
      </c>
      <c r="C35" s="285">
        <f t="shared" si="1"/>
        <v>1</v>
      </c>
      <c r="D35" s="285" t="str">
        <f t="shared" si="2"/>
        <v>-</v>
      </c>
      <c r="E35" s="285">
        <f t="shared" si="3"/>
        <v>1</v>
      </c>
      <c r="F35" s="285">
        <f t="shared" si="4"/>
        <v>1</v>
      </c>
      <c r="G35" s="285">
        <f t="shared" si="5"/>
        <v>1</v>
      </c>
      <c r="H35" s="285" t="str">
        <f t="shared" si="6"/>
        <v>-</v>
      </c>
      <c r="I35" s="285">
        <f t="shared" si="7"/>
        <v>1</v>
      </c>
      <c r="J35" s="285" t="str">
        <f t="shared" si="8"/>
        <v>-</v>
      </c>
      <c r="K35" s="285">
        <f t="shared" si="9"/>
        <v>1</v>
      </c>
      <c r="L35" s="285">
        <f t="shared" si="10"/>
        <v>1</v>
      </c>
      <c r="M35" s="285" t="str">
        <f t="shared" si="11"/>
        <v>-</v>
      </c>
      <c r="N35" s="285" t="str">
        <f t="shared" si="12"/>
        <v>-</v>
      </c>
      <c r="O35" s="285">
        <f t="shared" si="13"/>
        <v>1</v>
      </c>
      <c r="P35" s="285" t="str">
        <f t="shared" si="14"/>
        <v>-</v>
      </c>
      <c r="Q35" s="285" t="str">
        <f t="shared" si="15"/>
        <v>-</v>
      </c>
      <c r="R35" s="285">
        <f t="shared" si="16"/>
        <v>1</v>
      </c>
    </row>
    <row r="36" spans="2:18" ht="15" thickBot="1" x14ac:dyDescent="0.4">
      <c r="B36" s="290" t="s">
        <v>381</v>
      </c>
      <c r="C36" s="285">
        <f t="shared" si="1"/>
        <v>1</v>
      </c>
      <c r="D36" s="285" t="str">
        <f t="shared" si="2"/>
        <v>-</v>
      </c>
      <c r="E36" s="286">
        <f t="shared" si="3"/>
        <v>1</v>
      </c>
      <c r="F36" s="285">
        <f t="shared" si="4"/>
        <v>1</v>
      </c>
      <c r="G36" s="285">
        <f t="shared" si="5"/>
        <v>1</v>
      </c>
      <c r="H36" s="285" t="str">
        <f t="shared" si="6"/>
        <v>-</v>
      </c>
      <c r="I36" s="285">
        <f t="shared" si="7"/>
        <v>1</v>
      </c>
      <c r="J36" s="285" t="str">
        <f t="shared" si="8"/>
        <v>-</v>
      </c>
      <c r="K36" s="285">
        <f t="shared" si="9"/>
        <v>1</v>
      </c>
      <c r="L36" s="285">
        <f t="shared" si="10"/>
        <v>1</v>
      </c>
      <c r="M36" s="285">
        <f t="shared" si="11"/>
        <v>1</v>
      </c>
      <c r="N36" s="285" t="str">
        <f t="shared" si="12"/>
        <v>-</v>
      </c>
      <c r="O36" s="285">
        <f t="shared" si="13"/>
        <v>1</v>
      </c>
      <c r="P36" s="285">
        <f t="shared" si="14"/>
        <v>1</v>
      </c>
      <c r="Q36" s="285">
        <f t="shared" si="15"/>
        <v>1</v>
      </c>
      <c r="R36" s="285" t="str">
        <f t="shared" si="16"/>
        <v>-</v>
      </c>
    </row>
    <row r="37" spans="2:18" ht="15" thickBot="1" x14ac:dyDescent="0.4">
      <c r="B37" s="289" t="s">
        <v>387</v>
      </c>
      <c r="C37" s="285">
        <f t="shared" si="1"/>
        <v>1</v>
      </c>
      <c r="D37" s="285" t="str">
        <f t="shared" si="2"/>
        <v>-</v>
      </c>
      <c r="E37" s="285">
        <f t="shared" si="3"/>
        <v>1</v>
      </c>
      <c r="F37" s="285">
        <f t="shared" si="4"/>
        <v>1</v>
      </c>
      <c r="G37" s="285" t="str">
        <f t="shared" si="5"/>
        <v>-</v>
      </c>
      <c r="H37" s="285" t="str">
        <f t="shared" si="6"/>
        <v>-</v>
      </c>
      <c r="I37" s="285">
        <f t="shared" si="7"/>
        <v>1</v>
      </c>
      <c r="J37" s="285">
        <f t="shared" si="8"/>
        <v>1</v>
      </c>
      <c r="K37" s="285">
        <f t="shared" si="9"/>
        <v>1</v>
      </c>
      <c r="L37" s="285">
        <f t="shared" si="10"/>
        <v>1</v>
      </c>
      <c r="M37" s="285">
        <f t="shared" si="11"/>
        <v>1</v>
      </c>
      <c r="N37" s="285">
        <f t="shared" si="12"/>
        <v>1</v>
      </c>
      <c r="O37" s="285">
        <f t="shared" si="13"/>
        <v>1</v>
      </c>
      <c r="P37" s="285" t="str">
        <f t="shared" si="14"/>
        <v>-</v>
      </c>
      <c r="Q37" s="285" t="str">
        <f t="shared" si="15"/>
        <v>-</v>
      </c>
      <c r="R37" s="285">
        <f t="shared" si="16"/>
        <v>1</v>
      </c>
    </row>
    <row r="38" spans="2:18" ht="15" thickBot="1" x14ac:dyDescent="0.4">
      <c r="B38" s="290" t="s">
        <v>389</v>
      </c>
      <c r="C38" s="285">
        <f t="shared" si="1"/>
        <v>1</v>
      </c>
      <c r="D38" s="285" t="str">
        <f t="shared" si="2"/>
        <v>-</v>
      </c>
      <c r="E38" s="286">
        <f t="shared" si="3"/>
        <v>1</v>
      </c>
      <c r="F38" s="285">
        <f t="shared" si="4"/>
        <v>1</v>
      </c>
      <c r="G38" s="285">
        <f t="shared" si="5"/>
        <v>1</v>
      </c>
      <c r="H38" s="285" t="str">
        <f t="shared" si="6"/>
        <v>-</v>
      </c>
      <c r="I38" s="285">
        <f t="shared" si="7"/>
        <v>1</v>
      </c>
      <c r="J38" s="285">
        <f t="shared" si="8"/>
        <v>1</v>
      </c>
      <c r="K38" s="285">
        <f t="shared" si="9"/>
        <v>1</v>
      </c>
      <c r="L38" s="285">
        <f t="shared" si="10"/>
        <v>1</v>
      </c>
      <c r="M38" s="285">
        <f t="shared" si="11"/>
        <v>1</v>
      </c>
      <c r="N38" s="285" t="str">
        <f t="shared" si="12"/>
        <v>-</v>
      </c>
      <c r="O38" s="285">
        <f t="shared" si="13"/>
        <v>1</v>
      </c>
      <c r="P38" s="285">
        <f t="shared" si="14"/>
        <v>1</v>
      </c>
      <c r="Q38" s="285">
        <f t="shared" si="15"/>
        <v>1</v>
      </c>
      <c r="R38" s="285">
        <f t="shared" si="16"/>
        <v>1</v>
      </c>
    </row>
  </sheetData>
  <mergeCells count="1">
    <mergeCell ref="S4:S5"/>
  </mergeCells>
  <conditionalFormatting sqref="A21:XFD22 A4:A20 T4:XFD20 A39:XFD1048576 A23:A38 S23:XFD38 U1:XFD2 A3:XFD3">
    <cfRule type="cellIs" dxfId="1871" priority="421" operator="equal">
      <formula>"PHI"</formula>
    </cfRule>
    <cfRule type="cellIs" dxfId="1870" priority="422" operator="equal">
      <formula>"GB"</formula>
    </cfRule>
    <cfRule type="cellIs" dxfId="1869" priority="423" operator="equal">
      <formula>"MIN"</formula>
    </cfRule>
    <cfRule type="cellIs" dxfId="1868" priority="424" operator="equal">
      <formula>"NYG"</formula>
    </cfRule>
    <cfRule type="cellIs" dxfId="1867" priority="425" operator="equal">
      <formula>"PIT"</formula>
    </cfRule>
    <cfRule type="cellIs" dxfId="1866" priority="426" operator="equal">
      <formula>"KC"</formula>
    </cfRule>
    <cfRule type="cellIs" dxfId="1865" priority="427" operator="equal">
      <formula>"ARI"</formula>
    </cfRule>
    <cfRule type="cellIs" dxfId="1864" priority="428" operator="equal">
      <formula>"LA"</formula>
    </cfRule>
    <cfRule type="cellIs" dxfId="1863" priority="429" operator="equal">
      <formula>"SD"</formula>
    </cfRule>
    <cfRule type="cellIs" dxfId="1862" priority="430" operator="equal">
      <formula>"NO"</formula>
    </cfRule>
    <cfRule type="cellIs" dxfId="1861" priority="431" operator="equal">
      <formula>"SF"</formula>
    </cfRule>
    <cfRule type="cellIs" dxfId="1860" priority="432" operator="equal">
      <formula>"DAL"</formula>
    </cfRule>
    <cfRule type="cellIs" dxfId="1859" priority="433" operator="equal">
      <formula>"TB"</formula>
    </cfRule>
    <cfRule type="cellIs" dxfId="1858" priority="434" operator="equal">
      <formula>"DEN"</formula>
    </cfRule>
    <cfRule type="cellIs" dxfId="1857" priority="435" operator="equal">
      <formula>"BAL"</formula>
    </cfRule>
    <cfRule type="cellIs" dxfId="1856" priority="436" operator="equal">
      <formula>"OAK"</formula>
    </cfRule>
    <cfRule type="cellIs" dxfId="1855" priority="437" operator="equal">
      <formula>"HOU"</formula>
    </cfRule>
    <cfRule type="cellIs" dxfId="1854" priority="438" operator="equal">
      <formula>"TEN"</formula>
    </cfRule>
    <cfRule type="cellIs" dxfId="1853" priority="439" operator="equal">
      <formula>"CHI"</formula>
    </cfRule>
    <cfRule type="cellIs" dxfId="1852" priority="440" operator="equal">
      <formula>"DET"</formula>
    </cfRule>
    <cfRule type="cellIs" dxfId="1851" priority="441" operator="equal">
      <formula>"ATL"</formula>
    </cfRule>
    <cfRule type="cellIs" dxfId="1850" priority="442" operator="equal">
      <formula>"CAR"</formula>
    </cfRule>
    <cfRule type="cellIs" dxfId="1849" priority="443" operator="equal">
      <formula>"IND"</formula>
    </cfRule>
    <cfRule type="cellIs" dxfId="1848" priority="444" operator="equal">
      <formula>"JAX"</formula>
    </cfRule>
    <cfRule type="cellIs" dxfId="1847" priority="445" operator="equal">
      <formula>"NYJ"</formula>
    </cfRule>
    <cfRule type="cellIs" dxfId="1846" priority="446" operator="equal">
      <formula>"SEA"</formula>
    </cfRule>
    <cfRule type="cellIs" dxfId="1845" priority="447" operator="equal">
      <formula>"NE"</formula>
    </cfRule>
    <cfRule type="cellIs" dxfId="1844" priority="448" operator="equal">
      <formula>"BUF"</formula>
    </cfRule>
    <cfRule type="cellIs" dxfId="1843" priority="449" operator="equal">
      <formula>"WAS"</formula>
    </cfRule>
    <cfRule type="cellIs" dxfId="1842" priority="450" operator="equal">
      <formula>"CLE"</formula>
    </cfRule>
    <cfRule type="cellIs" dxfId="1841" priority="451" operator="equal">
      <formula>"CIN"</formula>
    </cfRule>
    <cfRule type="cellIs" dxfId="1840" priority="452" operator="equal">
      <formula>"MIA"</formula>
    </cfRule>
  </conditionalFormatting>
  <conditionalFormatting sqref="B23">
    <cfRule type="cellIs" dxfId="1839" priority="357" operator="equal">
      <formula>"PHI"</formula>
    </cfRule>
    <cfRule type="cellIs" dxfId="1838" priority="358" operator="equal">
      <formula>"GB"</formula>
    </cfRule>
    <cfRule type="cellIs" dxfId="1837" priority="359" operator="equal">
      <formula>"MIN"</formula>
    </cfRule>
    <cfRule type="cellIs" dxfId="1836" priority="360" operator="equal">
      <formula>"NYG"</formula>
    </cfRule>
    <cfRule type="cellIs" dxfId="1835" priority="361" operator="equal">
      <formula>"PIT"</formula>
    </cfRule>
    <cfRule type="cellIs" dxfId="1834" priority="362" operator="equal">
      <formula>"KC"</formula>
    </cfRule>
    <cfRule type="cellIs" dxfId="1833" priority="363" operator="equal">
      <formula>"ARI"</formula>
    </cfRule>
    <cfRule type="cellIs" dxfId="1832" priority="364" operator="equal">
      <formula>"LA"</formula>
    </cfRule>
    <cfRule type="cellIs" dxfId="1831" priority="365" operator="equal">
      <formula>"SD"</formula>
    </cfRule>
    <cfRule type="cellIs" dxfId="1830" priority="366" operator="equal">
      <formula>"NO"</formula>
    </cfRule>
    <cfRule type="cellIs" dxfId="1829" priority="367" operator="equal">
      <formula>"SF"</formula>
    </cfRule>
    <cfRule type="cellIs" dxfId="1828" priority="368" operator="equal">
      <formula>"DAL"</formula>
    </cfRule>
    <cfRule type="cellIs" dxfId="1827" priority="369" operator="equal">
      <formula>"TB"</formula>
    </cfRule>
    <cfRule type="cellIs" dxfId="1826" priority="370" operator="equal">
      <formula>"DEN"</formula>
    </cfRule>
    <cfRule type="cellIs" dxfId="1825" priority="371" operator="equal">
      <formula>"BAL"</formula>
    </cfRule>
    <cfRule type="cellIs" dxfId="1824" priority="372" operator="equal">
      <formula>"OAK"</formula>
    </cfRule>
    <cfRule type="cellIs" dxfId="1823" priority="373" operator="equal">
      <formula>"HOU"</formula>
    </cfRule>
    <cfRule type="cellIs" dxfId="1822" priority="374" operator="equal">
      <formula>"TEN"</formula>
    </cfRule>
    <cfRule type="cellIs" dxfId="1821" priority="375" operator="equal">
      <formula>"CHI"</formula>
    </cfRule>
    <cfRule type="cellIs" dxfId="1820" priority="376" operator="equal">
      <formula>"DET"</formula>
    </cfRule>
    <cfRule type="cellIs" dxfId="1819" priority="377" operator="equal">
      <formula>"ATL"</formula>
    </cfRule>
    <cfRule type="cellIs" dxfId="1818" priority="378" operator="equal">
      <formula>"CAR"</formula>
    </cfRule>
    <cfRule type="cellIs" dxfId="1817" priority="379" operator="equal">
      <formula>"IND"</formula>
    </cfRule>
    <cfRule type="cellIs" dxfId="1816" priority="380" operator="equal">
      <formula>"JAX"</formula>
    </cfRule>
    <cfRule type="cellIs" dxfId="1815" priority="381" operator="equal">
      <formula>"NYJ"</formula>
    </cfRule>
    <cfRule type="cellIs" dxfId="1814" priority="382" operator="equal">
      <formula>"SEA"</formula>
    </cfRule>
    <cfRule type="cellIs" dxfId="1813" priority="383" operator="equal">
      <formula>"NE"</formula>
    </cfRule>
    <cfRule type="cellIs" dxfId="1812" priority="384" operator="equal">
      <formula>"BUF"</formula>
    </cfRule>
    <cfRule type="cellIs" dxfId="1811" priority="385" operator="equal">
      <formula>"WAS"</formula>
    </cfRule>
    <cfRule type="cellIs" dxfId="1810" priority="386" operator="equal">
      <formula>"CLE"</formula>
    </cfRule>
    <cfRule type="cellIs" dxfId="1809" priority="387" operator="equal">
      <formula>"CIN"</formula>
    </cfRule>
    <cfRule type="cellIs" dxfId="1808" priority="388" operator="equal">
      <formula>"MIA"</formula>
    </cfRule>
  </conditionalFormatting>
  <conditionalFormatting sqref="S20">
    <cfRule type="cellIs" dxfId="1807" priority="324" operator="equal">
      <formula>"PHI"</formula>
    </cfRule>
    <cfRule type="cellIs" dxfId="1806" priority="325" operator="equal">
      <formula>"GB"</formula>
    </cfRule>
    <cfRule type="cellIs" dxfId="1805" priority="326" operator="equal">
      <formula>"MIN"</formula>
    </cfRule>
    <cfRule type="cellIs" dxfId="1804" priority="327" operator="equal">
      <formula>"NYG"</formula>
    </cfRule>
    <cfRule type="cellIs" dxfId="1803" priority="328" operator="equal">
      <formula>"PIT"</formula>
    </cfRule>
    <cfRule type="cellIs" dxfId="1802" priority="329" operator="equal">
      <formula>"KC"</formula>
    </cfRule>
    <cfRule type="cellIs" dxfId="1801" priority="330" operator="equal">
      <formula>"ARI"</formula>
    </cfRule>
    <cfRule type="cellIs" dxfId="1800" priority="331" operator="equal">
      <formula>"LA"</formula>
    </cfRule>
    <cfRule type="cellIs" dxfId="1799" priority="332" operator="equal">
      <formula>"SD"</formula>
    </cfRule>
    <cfRule type="cellIs" dxfId="1798" priority="333" operator="equal">
      <formula>"NO"</formula>
    </cfRule>
    <cfRule type="cellIs" dxfId="1797" priority="334" operator="equal">
      <formula>"SF"</formula>
    </cfRule>
    <cfRule type="cellIs" dxfId="1796" priority="335" operator="equal">
      <formula>"DAL"</formula>
    </cfRule>
    <cfRule type="cellIs" dxfId="1795" priority="336" operator="equal">
      <formula>"TB"</formula>
    </cfRule>
    <cfRule type="cellIs" dxfId="1794" priority="337" operator="equal">
      <formula>"DEN"</formula>
    </cfRule>
    <cfRule type="cellIs" dxfId="1793" priority="338" operator="equal">
      <formula>"BAL"</formula>
    </cfRule>
    <cfRule type="cellIs" dxfId="1792" priority="339" operator="equal">
      <formula>"OAK"</formula>
    </cfRule>
    <cfRule type="cellIs" dxfId="1791" priority="340" operator="equal">
      <formula>"HOU"</formula>
    </cfRule>
    <cfRule type="cellIs" dxfId="1790" priority="341" operator="equal">
      <formula>"TEN"</formula>
    </cfRule>
    <cfRule type="cellIs" dxfId="1789" priority="342" operator="equal">
      <formula>"CHI"</formula>
    </cfRule>
    <cfRule type="cellIs" dxfId="1788" priority="343" operator="equal">
      <formula>"DET"</formula>
    </cfRule>
    <cfRule type="cellIs" dxfId="1787" priority="344" operator="equal">
      <formula>"ATL"</formula>
    </cfRule>
    <cfRule type="cellIs" dxfId="1786" priority="345" operator="equal">
      <formula>"CAR"</formula>
    </cfRule>
    <cfRule type="cellIs" dxfId="1785" priority="346" operator="equal">
      <formula>"IND"</formula>
    </cfRule>
    <cfRule type="cellIs" dxfId="1784" priority="347" operator="equal">
      <formula>"JAX"</formula>
    </cfRule>
    <cfRule type="cellIs" dxfId="1783" priority="348" operator="equal">
      <formula>"NYJ"</formula>
    </cfRule>
    <cfRule type="cellIs" dxfId="1782" priority="349" operator="equal">
      <formula>"SEA"</formula>
    </cfRule>
    <cfRule type="cellIs" dxfId="1781" priority="350" operator="equal">
      <formula>"NE"</formula>
    </cfRule>
    <cfRule type="cellIs" dxfId="1780" priority="351" operator="equal">
      <formula>"BUF"</formula>
    </cfRule>
    <cfRule type="cellIs" dxfId="1779" priority="352" operator="equal">
      <formula>"WAS"</formula>
    </cfRule>
    <cfRule type="cellIs" dxfId="1778" priority="353" operator="equal">
      <formula>"CLE"</formula>
    </cfRule>
    <cfRule type="cellIs" dxfId="1777" priority="354" operator="equal">
      <formula>"CIN"</formula>
    </cfRule>
    <cfRule type="cellIs" dxfId="1776" priority="355" operator="equal">
      <formula>"MIA"</formula>
    </cfRule>
  </conditionalFormatting>
  <conditionalFormatting sqref="S4:S5">
    <cfRule type="cellIs" dxfId="1775" priority="292" operator="equal">
      <formula>"PHI"</formula>
    </cfRule>
    <cfRule type="cellIs" dxfId="1774" priority="293" operator="equal">
      <formula>"GB"</formula>
    </cfRule>
    <cfRule type="cellIs" dxfId="1773" priority="294" operator="equal">
      <formula>"MIN"</formula>
    </cfRule>
    <cfRule type="cellIs" dxfId="1772" priority="295" operator="equal">
      <formula>"NYG"</formula>
    </cfRule>
    <cfRule type="cellIs" dxfId="1771" priority="296" operator="equal">
      <formula>"PIT"</formula>
    </cfRule>
    <cfRule type="cellIs" dxfId="1770" priority="297" operator="equal">
      <formula>"KC"</formula>
    </cfRule>
    <cfRule type="cellIs" dxfId="1769" priority="298" operator="equal">
      <formula>"ARI"</formula>
    </cfRule>
    <cfRule type="cellIs" dxfId="1768" priority="299" operator="equal">
      <formula>"LA"</formula>
    </cfRule>
    <cfRule type="cellIs" dxfId="1767" priority="300" operator="equal">
      <formula>"SD"</formula>
    </cfRule>
    <cfRule type="cellIs" dxfId="1766" priority="301" operator="equal">
      <formula>"NO"</formula>
    </cfRule>
    <cfRule type="cellIs" dxfId="1765" priority="302" operator="equal">
      <formula>"SF"</formula>
    </cfRule>
    <cfRule type="cellIs" dxfId="1764" priority="303" operator="equal">
      <formula>"DAL"</formula>
    </cfRule>
    <cfRule type="cellIs" dxfId="1763" priority="304" operator="equal">
      <formula>"TB"</formula>
    </cfRule>
    <cfRule type="cellIs" dxfId="1762" priority="305" operator="equal">
      <formula>"DEN"</formula>
    </cfRule>
    <cfRule type="cellIs" dxfId="1761" priority="306" operator="equal">
      <formula>"BAL"</formula>
    </cfRule>
    <cfRule type="cellIs" dxfId="1760" priority="307" operator="equal">
      <formula>"OAK"</formula>
    </cfRule>
    <cfRule type="cellIs" dxfId="1759" priority="308" operator="equal">
      <formula>"HOU"</formula>
    </cfRule>
    <cfRule type="cellIs" dxfId="1758" priority="309" operator="equal">
      <formula>"TEN"</formula>
    </cfRule>
    <cfRule type="cellIs" dxfId="1757" priority="310" operator="equal">
      <formula>"CHI"</formula>
    </cfRule>
    <cfRule type="cellIs" dxfId="1756" priority="311" operator="equal">
      <formula>"DET"</formula>
    </cfRule>
    <cfRule type="cellIs" dxfId="1755" priority="312" operator="equal">
      <formula>"ATL"</formula>
    </cfRule>
    <cfRule type="cellIs" dxfId="1754" priority="313" operator="equal">
      <formula>"CAR"</formula>
    </cfRule>
    <cfRule type="cellIs" dxfId="1753" priority="314" operator="equal">
      <formula>"IND"</formula>
    </cfRule>
    <cfRule type="cellIs" dxfId="1752" priority="315" operator="equal">
      <formula>"JAX"</formula>
    </cfRule>
    <cfRule type="cellIs" dxfId="1751" priority="316" operator="equal">
      <formula>"NYJ"</formula>
    </cfRule>
    <cfRule type="cellIs" dxfId="1750" priority="317" operator="equal">
      <formula>"SEA"</formula>
    </cfRule>
    <cfRule type="cellIs" dxfId="1749" priority="318" operator="equal">
      <formula>"NE"</formula>
    </cfRule>
    <cfRule type="cellIs" dxfId="1748" priority="319" operator="equal">
      <formula>"BUF"</formula>
    </cfRule>
    <cfRule type="cellIs" dxfId="1747" priority="320" operator="equal">
      <formula>"WAS"</formula>
    </cfRule>
    <cfRule type="cellIs" dxfId="1746" priority="321" operator="equal">
      <formula>"CLE"</formula>
    </cfRule>
    <cfRule type="cellIs" dxfId="1745" priority="322" operator="equal">
      <formula>"CIN"</formula>
    </cfRule>
    <cfRule type="cellIs" dxfId="1744" priority="323" operator="equal">
      <formula>"MIA"</formula>
    </cfRule>
  </conditionalFormatting>
  <conditionalFormatting sqref="B20">
    <cfRule type="cellIs" dxfId="1743" priority="260" operator="equal">
      <formula>"PHI"</formula>
    </cfRule>
    <cfRule type="cellIs" dxfId="1742" priority="261" operator="equal">
      <formula>"GB"</formula>
    </cfRule>
    <cfRule type="cellIs" dxfId="1741" priority="262" operator="equal">
      <formula>"MIN"</formula>
    </cfRule>
    <cfRule type="cellIs" dxfId="1740" priority="263" operator="equal">
      <formula>"NYG"</formula>
    </cfRule>
    <cfRule type="cellIs" dxfId="1739" priority="264" operator="equal">
      <formula>"PIT"</formula>
    </cfRule>
    <cfRule type="cellIs" dxfId="1738" priority="265" operator="equal">
      <formula>"KC"</formula>
    </cfRule>
    <cfRule type="cellIs" dxfId="1737" priority="266" operator="equal">
      <formula>"ARI"</formula>
    </cfRule>
    <cfRule type="cellIs" dxfId="1736" priority="267" operator="equal">
      <formula>"LA"</formula>
    </cfRule>
    <cfRule type="cellIs" dxfId="1735" priority="268" operator="equal">
      <formula>"SD"</formula>
    </cfRule>
    <cfRule type="cellIs" dxfId="1734" priority="269" operator="equal">
      <formula>"NO"</formula>
    </cfRule>
    <cfRule type="cellIs" dxfId="1733" priority="270" operator="equal">
      <formula>"SF"</formula>
    </cfRule>
    <cfRule type="cellIs" dxfId="1732" priority="271" operator="equal">
      <formula>"DAL"</formula>
    </cfRule>
    <cfRule type="cellIs" dxfId="1731" priority="272" operator="equal">
      <formula>"TB"</formula>
    </cfRule>
    <cfRule type="cellIs" dxfId="1730" priority="273" operator="equal">
      <formula>"DEN"</formula>
    </cfRule>
    <cfRule type="cellIs" dxfId="1729" priority="274" operator="equal">
      <formula>"BAL"</formula>
    </cfRule>
    <cfRule type="cellIs" dxfId="1728" priority="275" operator="equal">
      <formula>"OAK"</formula>
    </cfRule>
    <cfRule type="cellIs" dxfId="1727" priority="276" operator="equal">
      <formula>"HOU"</formula>
    </cfRule>
    <cfRule type="cellIs" dxfId="1726" priority="277" operator="equal">
      <formula>"TEN"</formula>
    </cfRule>
    <cfRule type="cellIs" dxfId="1725" priority="278" operator="equal">
      <formula>"CHI"</formula>
    </cfRule>
    <cfRule type="cellIs" dxfId="1724" priority="279" operator="equal">
      <formula>"DET"</formula>
    </cfRule>
    <cfRule type="cellIs" dxfId="1723" priority="280" operator="equal">
      <formula>"ATL"</formula>
    </cfRule>
    <cfRule type="cellIs" dxfId="1722" priority="281" operator="equal">
      <formula>"CAR"</formula>
    </cfRule>
    <cfRule type="cellIs" dxfId="1721" priority="282" operator="equal">
      <formula>"IND"</formula>
    </cfRule>
    <cfRule type="cellIs" dxfId="1720" priority="283" operator="equal">
      <formula>"JAX"</formula>
    </cfRule>
    <cfRule type="cellIs" dxfId="1719" priority="284" operator="equal">
      <formula>"NYJ"</formula>
    </cfRule>
    <cfRule type="cellIs" dxfId="1718" priority="285" operator="equal">
      <formula>"SEA"</formula>
    </cfRule>
    <cfRule type="cellIs" dxfId="1717" priority="286" operator="equal">
      <formula>"NE"</formula>
    </cfRule>
    <cfRule type="cellIs" dxfId="1716" priority="287" operator="equal">
      <formula>"BUF"</formula>
    </cfRule>
    <cfRule type="cellIs" dxfId="1715" priority="288" operator="equal">
      <formula>"WAS"</formula>
    </cfRule>
    <cfRule type="cellIs" dxfId="1714" priority="289" operator="equal">
      <formula>"CLE"</formula>
    </cfRule>
    <cfRule type="cellIs" dxfId="1713" priority="290" operator="equal">
      <formula>"CIN"</formula>
    </cfRule>
    <cfRule type="cellIs" dxfId="1712" priority="291" operator="equal">
      <formula>"MIA"</formula>
    </cfRule>
  </conditionalFormatting>
  <conditionalFormatting sqref="C20:R20 Q6:R19">
    <cfRule type="cellIs" dxfId="1711" priority="228" operator="equal">
      <formula>"PHI"</formula>
    </cfRule>
    <cfRule type="cellIs" dxfId="1710" priority="229" operator="equal">
      <formula>"GB"</formula>
    </cfRule>
    <cfRule type="cellIs" dxfId="1709" priority="230" operator="equal">
      <formula>"MIN"</formula>
    </cfRule>
    <cfRule type="cellIs" dxfId="1708" priority="231" operator="equal">
      <formula>"NYG"</formula>
    </cfRule>
    <cfRule type="cellIs" dxfId="1707" priority="232" operator="equal">
      <formula>"PIT"</formula>
    </cfRule>
    <cfRule type="cellIs" dxfId="1706" priority="233" operator="equal">
      <formula>"KC"</formula>
    </cfRule>
    <cfRule type="cellIs" dxfId="1705" priority="234" operator="equal">
      <formula>"ARI"</formula>
    </cfRule>
    <cfRule type="cellIs" dxfId="1704" priority="235" operator="equal">
      <formula>"LA"</formula>
    </cfRule>
    <cfRule type="cellIs" dxfId="1703" priority="236" operator="equal">
      <formula>"SD"</formula>
    </cfRule>
    <cfRule type="cellIs" dxfId="1702" priority="237" operator="equal">
      <formula>"NO"</formula>
    </cfRule>
    <cfRule type="cellIs" dxfId="1701" priority="238" operator="equal">
      <formula>"SF"</formula>
    </cfRule>
    <cfRule type="cellIs" dxfId="1700" priority="239" operator="equal">
      <formula>"DAL"</formula>
    </cfRule>
    <cfRule type="cellIs" dxfId="1699" priority="240" operator="equal">
      <formula>"TB"</formula>
    </cfRule>
    <cfRule type="cellIs" dxfId="1698" priority="241" operator="equal">
      <formula>"DEN"</formula>
    </cfRule>
    <cfRule type="cellIs" dxfId="1697" priority="242" operator="equal">
      <formula>"BAL"</formula>
    </cfRule>
    <cfRule type="cellIs" dxfId="1696" priority="243" operator="equal">
      <formula>"OAK"</formula>
    </cfRule>
    <cfRule type="cellIs" dxfId="1695" priority="244" operator="equal">
      <formula>"HOU"</formula>
    </cfRule>
    <cfRule type="cellIs" dxfId="1694" priority="245" operator="equal">
      <formula>"TEN"</formula>
    </cfRule>
    <cfRule type="cellIs" dxfId="1693" priority="246" operator="equal">
      <formula>"CHI"</formula>
    </cfRule>
    <cfRule type="cellIs" dxfId="1692" priority="247" operator="equal">
      <formula>"DET"</formula>
    </cfRule>
    <cfRule type="cellIs" dxfId="1691" priority="248" operator="equal">
      <formula>"ATL"</formula>
    </cfRule>
    <cfRule type="cellIs" dxfId="1690" priority="249" operator="equal">
      <formula>"CAR"</formula>
    </cfRule>
    <cfRule type="cellIs" dxfId="1689" priority="250" operator="equal">
      <formula>"IND"</formula>
    </cfRule>
    <cfRule type="cellIs" dxfId="1688" priority="251" operator="equal">
      <formula>"JAX"</formula>
    </cfRule>
    <cfRule type="cellIs" dxfId="1687" priority="252" operator="equal">
      <formula>"NYJ"</formula>
    </cfRule>
    <cfRule type="cellIs" dxfId="1686" priority="253" operator="equal">
      <formula>"SEA"</formula>
    </cfRule>
    <cfRule type="cellIs" dxfId="1685" priority="254" operator="equal">
      <formula>"NE"</formula>
    </cfRule>
    <cfRule type="cellIs" dxfId="1684" priority="255" operator="equal">
      <formula>"BUF"</formula>
    </cfRule>
    <cfRule type="cellIs" dxfId="1683" priority="256" operator="equal">
      <formula>"WAS"</formula>
    </cfRule>
    <cfRule type="cellIs" dxfId="1682" priority="257" operator="equal">
      <formula>"CLE"</formula>
    </cfRule>
    <cfRule type="cellIs" dxfId="1681" priority="258" operator="equal">
      <formula>"CIN"</formula>
    </cfRule>
    <cfRule type="cellIs" dxfId="1680" priority="259" operator="equal">
      <formula>"MIA"</formula>
    </cfRule>
  </conditionalFormatting>
  <conditionalFormatting sqref="Q25:R38">
    <cfRule type="cellIs" dxfId="1679" priority="33" operator="equal">
      <formula>"PHI"</formula>
    </cfRule>
    <cfRule type="cellIs" dxfId="1678" priority="34" operator="equal">
      <formula>"GB"</formula>
    </cfRule>
    <cfRule type="cellIs" dxfId="1677" priority="35" operator="equal">
      <formula>"MIN"</formula>
    </cfRule>
    <cfRule type="cellIs" dxfId="1676" priority="36" operator="equal">
      <formula>"NYG"</formula>
    </cfRule>
    <cfRule type="cellIs" dxfId="1675" priority="37" operator="equal">
      <formula>"PIT"</formula>
    </cfRule>
    <cfRule type="cellIs" dxfId="1674" priority="38" operator="equal">
      <formula>"KC"</formula>
    </cfRule>
    <cfRule type="cellIs" dxfId="1673" priority="39" operator="equal">
      <formula>"ARI"</formula>
    </cfRule>
    <cfRule type="cellIs" dxfId="1672" priority="40" operator="equal">
      <formula>"LA"</formula>
    </cfRule>
    <cfRule type="cellIs" dxfId="1671" priority="41" operator="equal">
      <formula>"SD"</formula>
    </cfRule>
    <cfRule type="cellIs" dxfId="1670" priority="42" operator="equal">
      <formula>"NO"</formula>
    </cfRule>
    <cfRule type="cellIs" dxfId="1669" priority="43" operator="equal">
      <formula>"SF"</formula>
    </cfRule>
    <cfRule type="cellIs" dxfId="1668" priority="44" operator="equal">
      <formula>"DAL"</formula>
    </cfRule>
    <cfRule type="cellIs" dxfId="1667" priority="45" operator="equal">
      <formula>"TB"</formula>
    </cfRule>
    <cfRule type="cellIs" dxfId="1666" priority="46" operator="equal">
      <formula>"DEN"</formula>
    </cfRule>
    <cfRule type="cellIs" dxfId="1665" priority="47" operator="equal">
      <formula>"BAL"</formula>
    </cfRule>
    <cfRule type="cellIs" dxfId="1664" priority="48" operator="equal">
      <formula>"OAK"</formula>
    </cfRule>
    <cfRule type="cellIs" dxfId="1663" priority="49" operator="equal">
      <formula>"HOU"</formula>
    </cfRule>
    <cfRule type="cellIs" dxfId="1662" priority="50" operator="equal">
      <formula>"TEN"</formula>
    </cfRule>
    <cfRule type="cellIs" dxfId="1661" priority="51" operator="equal">
      <formula>"CHI"</formula>
    </cfRule>
    <cfRule type="cellIs" dxfId="1660" priority="52" operator="equal">
      <formula>"DET"</formula>
    </cfRule>
    <cfRule type="cellIs" dxfId="1659" priority="53" operator="equal">
      <formula>"ATL"</formula>
    </cfRule>
    <cfRule type="cellIs" dxfId="1658" priority="54" operator="equal">
      <formula>"CAR"</formula>
    </cfRule>
    <cfRule type="cellIs" dxfId="1657" priority="55" operator="equal">
      <formula>"IND"</formula>
    </cfRule>
    <cfRule type="cellIs" dxfId="1656" priority="56" operator="equal">
      <formula>"JAX"</formula>
    </cfRule>
    <cfRule type="cellIs" dxfId="1655" priority="57" operator="equal">
      <formula>"NYJ"</formula>
    </cfRule>
    <cfRule type="cellIs" dxfId="1654" priority="58" operator="equal">
      <formula>"SEA"</formula>
    </cfRule>
    <cfRule type="cellIs" dxfId="1653" priority="59" operator="equal">
      <formula>"NE"</formula>
    </cfRule>
    <cfRule type="cellIs" dxfId="1652" priority="60" operator="equal">
      <formula>"BUF"</formula>
    </cfRule>
    <cfRule type="cellIs" dxfId="1651" priority="61" operator="equal">
      <formula>"WAS"</formula>
    </cfRule>
    <cfRule type="cellIs" dxfId="1650" priority="62" operator="equal">
      <formula>"CLE"</formula>
    </cfRule>
    <cfRule type="cellIs" dxfId="1649" priority="63" operator="equal">
      <formula>"CIN"</formula>
    </cfRule>
    <cfRule type="cellIs" dxfId="1648" priority="64" operator="equal">
      <formula>"MIA"</formula>
    </cfRule>
  </conditionalFormatting>
  <conditionalFormatting sqref="B6:P19">
    <cfRule type="cellIs" dxfId="1647" priority="196" operator="equal">
      <formula>"PHI"</formula>
    </cfRule>
    <cfRule type="cellIs" dxfId="1646" priority="197" operator="equal">
      <formula>"GB"</formula>
    </cfRule>
    <cfRule type="cellIs" dxfId="1645" priority="198" operator="equal">
      <formula>"MIN"</formula>
    </cfRule>
    <cfRule type="cellIs" dxfId="1644" priority="199" operator="equal">
      <formula>"NYG"</formula>
    </cfRule>
    <cfRule type="cellIs" dxfId="1643" priority="200" operator="equal">
      <formula>"PIT"</formula>
    </cfRule>
    <cfRule type="cellIs" dxfId="1642" priority="201" operator="equal">
      <formula>"KC"</formula>
    </cfRule>
    <cfRule type="cellIs" dxfId="1641" priority="202" operator="equal">
      <formula>"ARI"</formula>
    </cfRule>
    <cfRule type="cellIs" dxfId="1640" priority="203" operator="equal">
      <formula>"LA"</formula>
    </cfRule>
    <cfRule type="cellIs" dxfId="1639" priority="204" operator="equal">
      <formula>"SD"</formula>
    </cfRule>
    <cfRule type="cellIs" dxfId="1638" priority="205" operator="equal">
      <formula>"NO"</formula>
    </cfRule>
    <cfRule type="cellIs" dxfId="1637" priority="206" operator="equal">
      <formula>"SF"</formula>
    </cfRule>
    <cfRule type="cellIs" dxfId="1636" priority="207" operator="equal">
      <formula>"DAL"</formula>
    </cfRule>
    <cfRule type="cellIs" dxfId="1635" priority="208" operator="equal">
      <formula>"TB"</formula>
    </cfRule>
    <cfRule type="cellIs" dxfId="1634" priority="209" operator="equal">
      <formula>"DEN"</formula>
    </cfRule>
    <cfRule type="cellIs" dxfId="1633" priority="210" operator="equal">
      <formula>"BAL"</formula>
    </cfRule>
    <cfRule type="cellIs" dxfId="1632" priority="211" operator="equal">
      <formula>"OAK"</formula>
    </cfRule>
    <cfRule type="cellIs" dxfId="1631" priority="212" operator="equal">
      <formula>"HOU"</formula>
    </cfRule>
    <cfRule type="cellIs" dxfId="1630" priority="213" operator="equal">
      <formula>"TEN"</formula>
    </cfRule>
    <cfRule type="cellIs" dxfId="1629" priority="214" operator="equal">
      <formula>"CHI"</formula>
    </cfRule>
    <cfRule type="cellIs" dxfId="1628" priority="215" operator="equal">
      <formula>"DET"</formula>
    </cfRule>
    <cfRule type="cellIs" dxfId="1627" priority="216" operator="equal">
      <formula>"ATL"</formula>
    </cfRule>
    <cfRule type="cellIs" dxfId="1626" priority="217" operator="equal">
      <formula>"CAR"</formula>
    </cfRule>
    <cfRule type="cellIs" dxfId="1625" priority="218" operator="equal">
      <formula>"IND"</formula>
    </cfRule>
    <cfRule type="cellIs" dxfId="1624" priority="219" operator="equal">
      <formula>"JAX"</formula>
    </cfRule>
    <cfRule type="cellIs" dxfId="1623" priority="220" operator="equal">
      <formula>"NYJ"</formula>
    </cfRule>
    <cfRule type="cellIs" dxfId="1622" priority="221" operator="equal">
      <formula>"SEA"</formula>
    </cfRule>
    <cfRule type="cellIs" dxfId="1621" priority="222" operator="equal">
      <formula>"NE"</formula>
    </cfRule>
    <cfRule type="cellIs" dxfId="1620" priority="223" operator="equal">
      <formula>"BUF"</formula>
    </cfRule>
    <cfRule type="cellIs" dxfId="1619" priority="224" operator="equal">
      <formula>"WAS"</formula>
    </cfRule>
    <cfRule type="cellIs" dxfId="1618" priority="225" operator="equal">
      <formula>"CLE"</formula>
    </cfRule>
    <cfRule type="cellIs" dxfId="1617" priority="226" operator="equal">
      <formula>"CIN"</formula>
    </cfRule>
    <cfRule type="cellIs" dxfId="1616" priority="227" operator="equal">
      <formula>"MIA"</formula>
    </cfRule>
  </conditionalFormatting>
  <conditionalFormatting sqref="B37:B38">
    <cfRule type="cellIs" dxfId="1615" priority="99" operator="equal">
      <formula>"PHI"</formula>
    </cfRule>
    <cfRule type="cellIs" dxfId="1614" priority="100" operator="equal">
      <formula>"GB"</formula>
    </cfRule>
    <cfRule type="cellIs" dxfId="1613" priority="101" operator="equal">
      <formula>"MIN"</formula>
    </cfRule>
    <cfRule type="cellIs" dxfId="1612" priority="102" operator="equal">
      <formula>"NYG"</formula>
    </cfRule>
    <cfRule type="cellIs" dxfId="1611" priority="103" operator="equal">
      <formula>"PIT"</formula>
    </cfRule>
    <cfRule type="cellIs" dxfId="1610" priority="104" operator="equal">
      <formula>"KC"</formula>
    </cfRule>
    <cfRule type="cellIs" dxfId="1609" priority="105" operator="equal">
      <formula>"ARI"</formula>
    </cfRule>
    <cfRule type="cellIs" dxfId="1608" priority="106" operator="equal">
      <formula>"LA"</formula>
    </cfRule>
    <cfRule type="cellIs" dxfId="1607" priority="107" operator="equal">
      <formula>"SD"</formula>
    </cfRule>
    <cfRule type="cellIs" dxfId="1606" priority="108" operator="equal">
      <formula>"NO"</formula>
    </cfRule>
    <cfRule type="cellIs" dxfId="1605" priority="109" operator="equal">
      <formula>"SF"</formula>
    </cfRule>
    <cfRule type="cellIs" dxfId="1604" priority="110" operator="equal">
      <formula>"DAL"</formula>
    </cfRule>
    <cfRule type="cellIs" dxfId="1603" priority="111" operator="equal">
      <formula>"TB"</formula>
    </cfRule>
    <cfRule type="cellIs" dxfId="1602" priority="112" operator="equal">
      <formula>"DEN"</formula>
    </cfRule>
    <cfRule type="cellIs" dxfId="1601" priority="113" operator="equal">
      <formula>"BAL"</formula>
    </cfRule>
    <cfRule type="cellIs" dxfId="1600" priority="114" operator="equal">
      <formula>"OAK"</formula>
    </cfRule>
    <cfRule type="cellIs" dxfId="1599" priority="115" operator="equal">
      <formula>"HOU"</formula>
    </cfRule>
    <cfRule type="cellIs" dxfId="1598" priority="116" operator="equal">
      <formula>"TEN"</formula>
    </cfRule>
    <cfRule type="cellIs" dxfId="1597" priority="117" operator="equal">
      <formula>"CHI"</formula>
    </cfRule>
    <cfRule type="cellIs" dxfId="1596" priority="118" operator="equal">
      <formula>"DET"</formula>
    </cfRule>
    <cfRule type="cellIs" dxfId="1595" priority="119" operator="equal">
      <formula>"ATL"</formula>
    </cfRule>
    <cfRule type="cellIs" dxfId="1594" priority="120" operator="equal">
      <formula>"CAR"</formula>
    </cfRule>
    <cfRule type="cellIs" dxfId="1593" priority="121" operator="equal">
      <formula>"IND"</formula>
    </cfRule>
    <cfRule type="cellIs" dxfId="1592" priority="122" operator="equal">
      <formula>"JAX"</formula>
    </cfRule>
    <cfRule type="cellIs" dxfId="1591" priority="123" operator="equal">
      <formula>"NYJ"</formula>
    </cfRule>
    <cfRule type="cellIs" dxfId="1590" priority="124" operator="equal">
      <formula>"SEA"</formula>
    </cfRule>
    <cfRule type="cellIs" dxfId="1589" priority="125" operator="equal">
      <formula>"NE"</formula>
    </cfRule>
    <cfRule type="cellIs" dxfId="1588" priority="126" operator="equal">
      <formula>"BUF"</formula>
    </cfRule>
    <cfRule type="cellIs" dxfId="1587" priority="127" operator="equal">
      <formula>"WAS"</formula>
    </cfRule>
    <cfRule type="cellIs" dxfId="1586" priority="128" operator="equal">
      <formula>"CLE"</formula>
    </cfRule>
    <cfRule type="cellIs" dxfId="1585" priority="129" operator="equal">
      <formula>"CIN"</formula>
    </cfRule>
    <cfRule type="cellIs" dxfId="1584" priority="130" operator="equal">
      <formula>"MIA"</formula>
    </cfRule>
  </conditionalFormatting>
  <conditionalFormatting sqref="C25:P38">
    <cfRule type="cellIs" dxfId="1583" priority="163" operator="equal">
      <formula>"PHI"</formula>
    </cfRule>
    <cfRule type="cellIs" dxfId="1582" priority="164" operator="equal">
      <formula>"GB"</formula>
    </cfRule>
    <cfRule type="cellIs" dxfId="1581" priority="165" operator="equal">
      <formula>"MIN"</formula>
    </cfRule>
    <cfRule type="cellIs" dxfId="1580" priority="166" operator="equal">
      <formula>"NYG"</formula>
    </cfRule>
    <cfRule type="cellIs" dxfId="1579" priority="167" operator="equal">
      <formula>"PIT"</formula>
    </cfRule>
    <cfRule type="cellIs" dxfId="1578" priority="168" operator="equal">
      <formula>"KC"</formula>
    </cfRule>
    <cfRule type="cellIs" dxfId="1577" priority="169" operator="equal">
      <formula>"ARI"</formula>
    </cfRule>
    <cfRule type="cellIs" dxfId="1576" priority="170" operator="equal">
      <formula>"LA"</formula>
    </cfRule>
    <cfRule type="cellIs" dxfId="1575" priority="171" operator="equal">
      <formula>"SD"</formula>
    </cfRule>
    <cfRule type="cellIs" dxfId="1574" priority="172" operator="equal">
      <formula>"NO"</formula>
    </cfRule>
    <cfRule type="cellIs" dxfId="1573" priority="173" operator="equal">
      <formula>"SF"</formula>
    </cfRule>
    <cfRule type="cellIs" dxfId="1572" priority="174" operator="equal">
      <formula>"DAL"</formula>
    </cfRule>
    <cfRule type="cellIs" dxfId="1571" priority="175" operator="equal">
      <formula>"TB"</formula>
    </cfRule>
    <cfRule type="cellIs" dxfId="1570" priority="176" operator="equal">
      <formula>"DEN"</formula>
    </cfRule>
    <cfRule type="cellIs" dxfId="1569" priority="177" operator="equal">
      <formula>"BAL"</formula>
    </cfRule>
    <cfRule type="cellIs" dxfId="1568" priority="178" operator="equal">
      <formula>"OAK"</formula>
    </cfRule>
    <cfRule type="cellIs" dxfId="1567" priority="179" operator="equal">
      <formula>"HOU"</formula>
    </cfRule>
    <cfRule type="cellIs" dxfId="1566" priority="180" operator="equal">
      <formula>"TEN"</formula>
    </cfRule>
    <cfRule type="cellIs" dxfId="1565" priority="181" operator="equal">
      <formula>"CHI"</formula>
    </cfRule>
    <cfRule type="cellIs" dxfId="1564" priority="182" operator="equal">
      <formula>"DET"</formula>
    </cfRule>
    <cfRule type="cellIs" dxfId="1563" priority="183" operator="equal">
      <formula>"ATL"</formula>
    </cfRule>
    <cfRule type="cellIs" dxfId="1562" priority="184" operator="equal">
      <formula>"CAR"</formula>
    </cfRule>
    <cfRule type="cellIs" dxfId="1561" priority="185" operator="equal">
      <formula>"IND"</formula>
    </cfRule>
    <cfRule type="cellIs" dxfId="1560" priority="186" operator="equal">
      <formula>"JAX"</formula>
    </cfRule>
    <cfRule type="cellIs" dxfId="1559" priority="187" operator="equal">
      <formula>"NYJ"</formula>
    </cfRule>
    <cfRule type="cellIs" dxfId="1558" priority="188" operator="equal">
      <formula>"SEA"</formula>
    </cfRule>
    <cfRule type="cellIs" dxfId="1557" priority="189" operator="equal">
      <formula>"NE"</formula>
    </cfRule>
    <cfRule type="cellIs" dxfId="1556" priority="190" operator="equal">
      <formula>"BUF"</formula>
    </cfRule>
    <cfRule type="cellIs" dxfId="1555" priority="191" operator="equal">
      <formula>"WAS"</formula>
    </cfRule>
    <cfRule type="cellIs" dxfId="1554" priority="192" operator="equal">
      <formula>"CLE"</formula>
    </cfRule>
    <cfRule type="cellIs" dxfId="1553" priority="193" operator="equal">
      <formula>"CIN"</formula>
    </cfRule>
    <cfRule type="cellIs" dxfId="1552" priority="194" operator="equal">
      <formula>"MIA"</formula>
    </cfRule>
  </conditionalFormatting>
  <conditionalFormatting sqref="B25:B36">
    <cfRule type="cellIs" dxfId="1551" priority="131" operator="equal">
      <formula>"PHI"</formula>
    </cfRule>
    <cfRule type="cellIs" dxfId="1550" priority="132" operator="equal">
      <formula>"GB"</formula>
    </cfRule>
    <cfRule type="cellIs" dxfId="1549" priority="133" operator="equal">
      <formula>"MIN"</formula>
    </cfRule>
    <cfRule type="cellIs" dxfId="1548" priority="134" operator="equal">
      <formula>"NYG"</formula>
    </cfRule>
    <cfRule type="cellIs" dxfId="1547" priority="135" operator="equal">
      <formula>"PIT"</formula>
    </cfRule>
    <cfRule type="cellIs" dxfId="1546" priority="136" operator="equal">
      <formula>"KC"</formula>
    </cfRule>
    <cfRule type="cellIs" dxfId="1545" priority="137" operator="equal">
      <formula>"ARI"</formula>
    </cfRule>
    <cfRule type="cellIs" dxfId="1544" priority="138" operator="equal">
      <formula>"LA"</formula>
    </cfRule>
    <cfRule type="cellIs" dxfId="1543" priority="139" operator="equal">
      <formula>"SD"</formula>
    </cfRule>
    <cfRule type="cellIs" dxfId="1542" priority="140" operator="equal">
      <formula>"NO"</formula>
    </cfRule>
    <cfRule type="cellIs" dxfId="1541" priority="141" operator="equal">
      <formula>"SF"</formula>
    </cfRule>
    <cfRule type="cellIs" dxfId="1540" priority="142" operator="equal">
      <formula>"DAL"</formula>
    </cfRule>
    <cfRule type="cellIs" dxfId="1539" priority="143" operator="equal">
      <formula>"TB"</formula>
    </cfRule>
    <cfRule type="cellIs" dxfId="1538" priority="144" operator="equal">
      <formula>"DEN"</formula>
    </cfRule>
    <cfRule type="cellIs" dxfId="1537" priority="145" operator="equal">
      <formula>"BAL"</formula>
    </cfRule>
    <cfRule type="cellIs" dxfId="1536" priority="146" operator="equal">
      <formula>"OAK"</formula>
    </cfRule>
    <cfRule type="cellIs" dxfId="1535" priority="147" operator="equal">
      <formula>"HOU"</formula>
    </cfRule>
    <cfRule type="cellIs" dxfId="1534" priority="148" operator="equal">
      <formula>"TEN"</formula>
    </cfRule>
    <cfRule type="cellIs" dxfId="1533" priority="149" operator="equal">
      <formula>"CHI"</formula>
    </cfRule>
    <cfRule type="cellIs" dxfId="1532" priority="150" operator="equal">
      <formula>"DET"</formula>
    </cfRule>
    <cfRule type="cellIs" dxfId="1531" priority="151" operator="equal">
      <formula>"ATL"</formula>
    </cfRule>
    <cfRule type="cellIs" dxfId="1530" priority="152" operator="equal">
      <formula>"CAR"</formula>
    </cfRule>
    <cfRule type="cellIs" dxfId="1529" priority="153" operator="equal">
      <formula>"IND"</formula>
    </cfRule>
    <cfRule type="cellIs" dxfId="1528" priority="154" operator="equal">
      <formula>"JAX"</formula>
    </cfRule>
    <cfRule type="cellIs" dxfId="1527" priority="155" operator="equal">
      <formula>"NYJ"</formula>
    </cfRule>
    <cfRule type="cellIs" dxfId="1526" priority="156" operator="equal">
      <formula>"SEA"</formula>
    </cfRule>
    <cfRule type="cellIs" dxfId="1525" priority="157" operator="equal">
      <formula>"NE"</formula>
    </cfRule>
    <cfRule type="cellIs" dxfId="1524" priority="158" operator="equal">
      <formula>"BUF"</formula>
    </cfRule>
    <cfRule type="cellIs" dxfId="1523" priority="159" operator="equal">
      <formula>"WAS"</formula>
    </cfRule>
    <cfRule type="cellIs" dxfId="1522" priority="160" operator="equal">
      <formula>"CLE"</formula>
    </cfRule>
    <cfRule type="cellIs" dxfId="1521" priority="161" operator="equal">
      <formula>"CIN"</formula>
    </cfRule>
    <cfRule type="cellIs" dxfId="1520" priority="162" operator="equal">
      <formula>"MIA"</formula>
    </cfRule>
  </conditionalFormatting>
  <conditionalFormatting sqref="C25:P38">
    <cfRule type="colorScale" priority="195">
      <colorScale>
        <cfvo type="min"/>
        <cfvo type="max"/>
        <color rgb="FFFCFCFF"/>
        <color rgb="FF63BE7B"/>
      </colorScale>
    </cfRule>
  </conditionalFormatting>
  <conditionalFormatting sqref="Q25:R38">
    <cfRule type="colorScale" priority="65">
      <colorScale>
        <cfvo type="min"/>
        <cfvo type="max"/>
        <color rgb="FFFCFCFF"/>
        <color rgb="FF63BE7B"/>
      </colorScale>
    </cfRule>
  </conditionalFormatting>
  <conditionalFormatting sqref="S6:S19">
    <cfRule type="cellIs" dxfId="1519" priority="1" operator="equal">
      <formula>"PHI"</formula>
    </cfRule>
    <cfRule type="cellIs" dxfId="1518" priority="2" operator="equal">
      <formula>"GB"</formula>
    </cfRule>
    <cfRule type="cellIs" dxfId="1517" priority="3" operator="equal">
      <formula>"MIN"</formula>
    </cfRule>
    <cfRule type="cellIs" dxfId="1516" priority="4" operator="equal">
      <formula>"NYG"</formula>
    </cfRule>
    <cfRule type="cellIs" dxfId="1515" priority="5" operator="equal">
      <formula>"PIT"</formula>
    </cfRule>
    <cfRule type="cellIs" dxfId="1514" priority="6" operator="equal">
      <formula>"KC"</formula>
    </cfRule>
    <cfRule type="cellIs" dxfId="1513" priority="7" operator="equal">
      <formula>"ARI"</formula>
    </cfRule>
    <cfRule type="cellIs" dxfId="1512" priority="8" operator="equal">
      <formula>"LA"</formula>
    </cfRule>
    <cfRule type="cellIs" dxfId="1511" priority="9" operator="equal">
      <formula>"SD"</formula>
    </cfRule>
    <cfRule type="cellIs" dxfId="1510" priority="10" operator="equal">
      <formula>"NO"</formula>
    </cfRule>
    <cfRule type="cellIs" dxfId="1509" priority="11" operator="equal">
      <formula>"SF"</formula>
    </cfRule>
    <cfRule type="cellIs" dxfId="1508" priority="12" operator="equal">
      <formula>"DAL"</formula>
    </cfRule>
    <cfRule type="cellIs" dxfId="1507" priority="13" operator="equal">
      <formula>"TB"</formula>
    </cfRule>
    <cfRule type="cellIs" dxfId="1506" priority="14" operator="equal">
      <formula>"DEN"</formula>
    </cfRule>
    <cfRule type="cellIs" dxfId="1505" priority="15" operator="equal">
      <formula>"BAL"</formula>
    </cfRule>
    <cfRule type="cellIs" dxfId="1504" priority="16" operator="equal">
      <formula>"OAK"</formula>
    </cfRule>
    <cfRule type="cellIs" dxfId="1503" priority="17" operator="equal">
      <formula>"HOU"</formula>
    </cfRule>
    <cfRule type="cellIs" dxfId="1502" priority="18" operator="equal">
      <formula>"TEN"</formula>
    </cfRule>
    <cfRule type="cellIs" dxfId="1501" priority="19" operator="equal">
      <formula>"CHI"</formula>
    </cfRule>
    <cfRule type="cellIs" dxfId="1500" priority="20" operator="equal">
      <formula>"DET"</formula>
    </cfRule>
    <cfRule type="cellIs" dxfId="1499" priority="21" operator="equal">
      <formula>"ATL"</formula>
    </cfRule>
    <cfRule type="cellIs" dxfId="1498" priority="22" operator="equal">
      <formula>"CAR"</formula>
    </cfRule>
    <cfRule type="cellIs" dxfId="1497" priority="23" operator="equal">
      <formula>"IND"</formula>
    </cfRule>
    <cfRule type="cellIs" dxfId="1496" priority="24" operator="equal">
      <formula>"JAX"</formula>
    </cfRule>
    <cfRule type="cellIs" dxfId="1495" priority="25" operator="equal">
      <formula>"NYJ"</formula>
    </cfRule>
    <cfRule type="cellIs" dxfId="1494" priority="26" operator="equal">
      <formula>"SEA"</formula>
    </cfRule>
    <cfRule type="cellIs" dxfId="1493" priority="27" operator="equal">
      <formula>"NE"</formula>
    </cfRule>
    <cfRule type="cellIs" dxfId="1492" priority="28" operator="equal">
      <formula>"BUF"</formula>
    </cfRule>
    <cfRule type="cellIs" dxfId="1491" priority="29" operator="equal">
      <formula>"WAS"</formula>
    </cfRule>
    <cfRule type="cellIs" dxfId="1490" priority="30" operator="equal">
      <formula>"CLE"</formula>
    </cfRule>
    <cfRule type="cellIs" dxfId="1489" priority="31" operator="equal">
      <formula>"CIN"</formula>
    </cfRule>
    <cfRule type="cellIs" dxfId="1488" priority="32" operator="equal">
      <formula>"MIA"</formula>
    </cfRule>
  </conditionalFormatting>
  <pageMargins left="0.7" right="0.7" top="0.75" bottom="0.75" header="0.3" footer="0.3"/>
  <pageSetup orientation="portrait" r:id="rId1"/>
  <ignoredErrors>
    <ignoredError sqref="C24:R24 C25:C38" calculatedColumn="1"/>
  </ignoredErrors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3:T39"/>
  <sheetViews>
    <sheetView zoomScaleNormal="100" workbookViewId="0">
      <selection activeCell="M2" sqref="M2"/>
    </sheetView>
  </sheetViews>
  <sheetFormatPr defaultRowHeight="14.5" x14ac:dyDescent="0.35"/>
  <cols>
    <col min="1" max="1" width="2.08984375" style="41" customWidth="1"/>
    <col min="2" max="2" width="10.90625" style="41" bestFit="1" customWidth="1"/>
    <col min="3" max="3" width="7.7265625" style="41" customWidth="1"/>
    <col min="4" max="4" width="9" style="41" customWidth="1"/>
    <col min="5" max="5" width="8.81640625" style="41" customWidth="1"/>
    <col min="6" max="6" width="9.453125" style="41" customWidth="1"/>
    <col min="7" max="7" width="7.90625" style="41" customWidth="1"/>
    <col min="8" max="8" width="9.26953125" style="41" customWidth="1"/>
    <col min="9" max="9" width="9.90625" style="41" customWidth="1"/>
    <col min="10" max="10" width="8.6328125" style="41" customWidth="1"/>
    <col min="11" max="11" width="8" style="41" customWidth="1"/>
    <col min="12" max="13" width="8.08984375" style="41" customWidth="1"/>
    <col min="14" max="14" width="7.453125" style="41" customWidth="1"/>
    <col min="15" max="16" width="8.453125" style="41" customWidth="1"/>
    <col min="17" max="17" width="8.1796875" style="41" customWidth="1"/>
    <col min="18" max="18" width="9.90625" style="41" bestFit="1" customWidth="1"/>
    <col min="19" max="19" width="8.7265625" style="41"/>
    <col min="20" max="20" width="6" style="41" customWidth="1"/>
    <col min="21" max="16384" width="8.7265625" style="41"/>
  </cols>
  <sheetData>
    <row r="3" spans="2:20" ht="15" thickBot="1" x14ac:dyDescent="0.4">
      <c r="D3" s="69" t="s">
        <v>430</v>
      </c>
    </row>
    <row r="4" spans="2:20" ht="15.5" customHeight="1" thickTop="1" thickBot="1" x14ac:dyDescent="0.4">
      <c r="B4" s="92" t="s">
        <v>0</v>
      </c>
      <c r="C4" s="82" t="s">
        <v>322</v>
      </c>
      <c r="D4" s="82" t="s">
        <v>323</v>
      </c>
      <c r="E4" s="82" t="s">
        <v>324</v>
      </c>
      <c r="F4" s="82" t="s">
        <v>325</v>
      </c>
      <c r="G4" s="82" t="s">
        <v>326</v>
      </c>
      <c r="H4" s="82" t="s">
        <v>327</v>
      </c>
      <c r="I4" s="82" t="s">
        <v>337</v>
      </c>
      <c r="J4" s="82" t="s">
        <v>328</v>
      </c>
      <c r="K4" t="s">
        <v>335</v>
      </c>
      <c r="L4" s="82" t="s">
        <v>330</v>
      </c>
      <c r="M4" s="82" t="s">
        <v>331</v>
      </c>
      <c r="N4" s="82" t="s">
        <v>332</v>
      </c>
      <c r="O4" s="82" t="s">
        <v>333</v>
      </c>
      <c r="P4" s="82" t="s">
        <v>334</v>
      </c>
      <c r="Q4" t="s">
        <v>329</v>
      </c>
      <c r="R4" s="82" t="s">
        <v>336</v>
      </c>
      <c r="S4" s="406" t="s">
        <v>92</v>
      </c>
    </row>
    <row r="5" spans="2:20" ht="15.5" thickTop="1" thickBot="1" x14ac:dyDescent="0.4">
      <c r="B5" s="26" t="s">
        <v>1</v>
      </c>
      <c r="C5" s="219" t="s">
        <v>429</v>
      </c>
      <c r="D5" s="219" t="s">
        <v>19</v>
      </c>
      <c r="E5" s="219" t="s">
        <v>26</v>
      </c>
      <c r="F5" s="219" t="s">
        <v>141</v>
      </c>
      <c r="G5" s="219" t="s">
        <v>199</v>
      </c>
      <c r="H5" s="219" t="s">
        <v>114</v>
      </c>
      <c r="I5" s="219" t="s">
        <v>25</v>
      </c>
      <c r="J5" s="219" t="s">
        <v>165</v>
      </c>
      <c r="K5" s="219" t="s">
        <v>115</v>
      </c>
      <c r="L5" s="219" t="s">
        <v>25</v>
      </c>
      <c r="M5" s="219" t="s">
        <v>111</v>
      </c>
      <c r="N5" s="219" t="s">
        <v>112</v>
      </c>
      <c r="O5" s="219" t="s">
        <v>28</v>
      </c>
      <c r="P5" s="219" t="s">
        <v>28</v>
      </c>
      <c r="Q5" s="219" t="s">
        <v>142</v>
      </c>
      <c r="R5" s="219" t="s">
        <v>141</v>
      </c>
      <c r="S5" s="407"/>
    </row>
    <row r="6" spans="2:20" ht="15" thickTop="1" x14ac:dyDescent="0.35">
      <c r="B6" s="348" t="s">
        <v>3</v>
      </c>
      <c r="C6" s="372" t="s">
        <v>67</v>
      </c>
      <c r="D6" s="373" t="s">
        <v>121</v>
      </c>
      <c r="E6" s="373" t="s">
        <v>65</v>
      </c>
      <c r="F6" s="373" t="s">
        <v>68</v>
      </c>
      <c r="G6" s="373" t="s">
        <v>64</v>
      </c>
      <c r="H6" s="373" t="s">
        <v>87</v>
      </c>
      <c r="I6" s="373" t="s">
        <v>66</v>
      </c>
      <c r="J6" s="373" t="s">
        <v>91</v>
      </c>
      <c r="K6" s="373" t="s">
        <v>76</v>
      </c>
      <c r="L6" s="373" t="s">
        <v>60</v>
      </c>
      <c r="M6" s="373" t="s">
        <v>118</v>
      </c>
      <c r="N6" s="373" t="s">
        <v>58</v>
      </c>
      <c r="O6" s="373" t="s">
        <v>89</v>
      </c>
      <c r="P6" s="373" t="s">
        <v>74</v>
      </c>
      <c r="Q6" s="373" t="s">
        <v>90</v>
      </c>
      <c r="R6" s="377" t="s">
        <v>71</v>
      </c>
      <c r="S6" s="369">
        <f>SUM(C25:R25)</f>
        <v>12</v>
      </c>
    </row>
    <row r="7" spans="2:20" x14ac:dyDescent="0.35">
      <c r="B7" s="348" t="s">
        <v>29</v>
      </c>
      <c r="C7" s="374" t="s">
        <v>67</v>
      </c>
      <c r="D7" s="371" t="s">
        <v>121</v>
      </c>
      <c r="E7" s="371" t="s">
        <v>65</v>
      </c>
      <c r="F7" s="371" t="s">
        <v>68</v>
      </c>
      <c r="G7" s="371" t="s">
        <v>64</v>
      </c>
      <c r="H7" s="371" t="s">
        <v>87</v>
      </c>
      <c r="I7" s="371" t="s">
        <v>66</v>
      </c>
      <c r="J7" s="371" t="s">
        <v>91</v>
      </c>
      <c r="K7" s="371" t="s">
        <v>76</v>
      </c>
      <c r="L7" s="371" t="s">
        <v>60</v>
      </c>
      <c r="M7" s="371" t="s">
        <v>118</v>
      </c>
      <c r="N7" s="371" t="s">
        <v>58</v>
      </c>
      <c r="O7" s="371" t="s">
        <v>89</v>
      </c>
      <c r="P7" s="371" t="s">
        <v>74</v>
      </c>
      <c r="Q7" s="371" t="s">
        <v>90</v>
      </c>
      <c r="R7" s="378" t="s">
        <v>71</v>
      </c>
      <c r="S7" s="368">
        <f t="shared" ref="S7:S19" si="0">SUM(C26:R26)</f>
        <v>12</v>
      </c>
    </row>
    <row r="8" spans="2:20" x14ac:dyDescent="0.35">
      <c r="B8" s="348" t="s">
        <v>30</v>
      </c>
      <c r="C8" s="374" t="s">
        <v>67</v>
      </c>
      <c r="D8" s="371" t="s">
        <v>121</v>
      </c>
      <c r="E8" s="371" t="s">
        <v>65</v>
      </c>
      <c r="F8" s="371" t="s">
        <v>68</v>
      </c>
      <c r="G8" s="371" t="s">
        <v>64</v>
      </c>
      <c r="H8" s="371" t="s">
        <v>69</v>
      </c>
      <c r="I8" s="371" t="s">
        <v>122</v>
      </c>
      <c r="J8" s="371" t="s">
        <v>91</v>
      </c>
      <c r="K8" s="371" t="s">
        <v>76</v>
      </c>
      <c r="L8" s="371" t="s">
        <v>60</v>
      </c>
      <c r="M8" s="371" t="s">
        <v>118</v>
      </c>
      <c r="N8" s="371" t="s">
        <v>58</v>
      </c>
      <c r="O8" s="371" t="s">
        <v>89</v>
      </c>
      <c r="P8" s="371" t="s">
        <v>74</v>
      </c>
      <c r="Q8" s="371" t="s">
        <v>90</v>
      </c>
      <c r="R8" s="378" t="s">
        <v>71</v>
      </c>
      <c r="S8" s="367">
        <f t="shared" si="0"/>
        <v>12</v>
      </c>
    </row>
    <row r="9" spans="2:20" x14ac:dyDescent="0.35">
      <c r="B9" s="348" t="s">
        <v>31</v>
      </c>
      <c r="C9" s="374" t="s">
        <v>67</v>
      </c>
      <c r="D9" s="371" t="s">
        <v>166</v>
      </c>
      <c r="E9" s="371" t="s">
        <v>166</v>
      </c>
      <c r="F9" s="371" t="s">
        <v>166</v>
      </c>
      <c r="G9" s="371" t="s">
        <v>166</v>
      </c>
      <c r="H9" s="371" t="s">
        <v>166</v>
      </c>
      <c r="I9" s="371" t="s">
        <v>166</v>
      </c>
      <c r="J9" s="371" t="s">
        <v>166</v>
      </c>
      <c r="K9" s="371" t="s">
        <v>166</v>
      </c>
      <c r="L9" s="371" t="s">
        <v>166</v>
      </c>
      <c r="M9" s="371" t="s">
        <v>166</v>
      </c>
      <c r="N9" s="371" t="s">
        <v>166</v>
      </c>
      <c r="O9" s="371" t="s">
        <v>166</v>
      </c>
      <c r="P9" s="371" t="s">
        <v>166</v>
      </c>
      <c r="Q9" s="371" t="s">
        <v>166</v>
      </c>
      <c r="R9" s="378" t="s">
        <v>166</v>
      </c>
      <c r="S9" s="368">
        <f t="shared" si="0"/>
        <v>1</v>
      </c>
    </row>
    <row r="10" spans="2:20" x14ac:dyDescent="0.35">
      <c r="B10" s="348" t="s">
        <v>32</v>
      </c>
      <c r="C10" s="374" t="s">
        <v>67</v>
      </c>
      <c r="D10" s="371" t="s">
        <v>79</v>
      </c>
      <c r="E10" s="371" t="s">
        <v>65</v>
      </c>
      <c r="F10" s="371" t="s">
        <v>68</v>
      </c>
      <c r="G10" s="371" t="s">
        <v>64</v>
      </c>
      <c r="H10" s="371" t="s">
        <v>87</v>
      </c>
      <c r="I10" s="371" t="s">
        <v>66</v>
      </c>
      <c r="J10" s="371" t="s">
        <v>91</v>
      </c>
      <c r="K10" s="371" t="s">
        <v>76</v>
      </c>
      <c r="L10" s="371" t="s">
        <v>60</v>
      </c>
      <c r="M10" s="371" t="s">
        <v>118</v>
      </c>
      <c r="N10" s="371" t="s">
        <v>58</v>
      </c>
      <c r="O10" s="371" t="s">
        <v>89</v>
      </c>
      <c r="P10" s="371" t="s">
        <v>119</v>
      </c>
      <c r="Q10" s="371" t="s">
        <v>90</v>
      </c>
      <c r="R10" s="378" t="s">
        <v>71</v>
      </c>
      <c r="S10" s="367">
        <f t="shared" si="0"/>
        <v>10</v>
      </c>
    </row>
    <row r="11" spans="2:20" x14ac:dyDescent="0.35">
      <c r="B11" s="348" t="s">
        <v>35</v>
      </c>
      <c r="C11" s="381" t="s">
        <v>67</v>
      </c>
      <c r="D11" s="380" t="s">
        <v>121</v>
      </c>
      <c r="E11" s="380" t="s">
        <v>65</v>
      </c>
      <c r="F11" s="380" t="s">
        <v>68</v>
      </c>
      <c r="G11" s="380" t="s">
        <v>64</v>
      </c>
      <c r="H11" s="380" t="s">
        <v>87</v>
      </c>
      <c r="I11" s="380" t="s">
        <v>66</v>
      </c>
      <c r="J11" s="380" t="s">
        <v>91</v>
      </c>
      <c r="K11" s="380" t="s">
        <v>76</v>
      </c>
      <c r="L11" s="380" t="s">
        <v>60</v>
      </c>
      <c r="M11" s="380" t="s">
        <v>61</v>
      </c>
      <c r="N11" s="380" t="s">
        <v>58</v>
      </c>
      <c r="O11" s="380" t="s">
        <v>89</v>
      </c>
      <c r="P11" s="380" t="s">
        <v>74</v>
      </c>
      <c r="Q11" s="380" t="s">
        <v>90</v>
      </c>
      <c r="R11" s="382" t="s">
        <v>71</v>
      </c>
      <c r="S11" s="368">
        <f t="shared" si="0"/>
        <v>13</v>
      </c>
    </row>
    <row r="12" spans="2:20" x14ac:dyDescent="0.35">
      <c r="B12" s="370" t="s">
        <v>36</v>
      </c>
      <c r="C12" s="374" t="s">
        <v>67</v>
      </c>
      <c r="D12" s="371" t="s">
        <v>121</v>
      </c>
      <c r="E12" s="371" t="s">
        <v>65</v>
      </c>
      <c r="F12" s="371" t="s">
        <v>68</v>
      </c>
      <c r="G12" s="371" t="s">
        <v>64</v>
      </c>
      <c r="H12" s="371" t="s">
        <v>87</v>
      </c>
      <c r="I12" s="371" t="s">
        <v>66</v>
      </c>
      <c r="J12" s="371" t="s">
        <v>91</v>
      </c>
      <c r="K12" s="371" t="s">
        <v>76</v>
      </c>
      <c r="L12" s="371" t="s">
        <v>60</v>
      </c>
      <c r="M12" s="371" t="s">
        <v>118</v>
      </c>
      <c r="N12" s="371" t="s">
        <v>58</v>
      </c>
      <c r="O12" s="371" t="s">
        <v>89</v>
      </c>
      <c r="P12" s="371" t="s">
        <v>74</v>
      </c>
      <c r="Q12" s="371" t="s">
        <v>90</v>
      </c>
      <c r="R12" s="378" t="s">
        <v>71</v>
      </c>
      <c r="S12" s="367">
        <f t="shared" si="0"/>
        <v>12</v>
      </c>
    </row>
    <row r="13" spans="2:20" x14ac:dyDescent="0.35">
      <c r="B13" s="370" t="s">
        <v>37</v>
      </c>
      <c r="C13" s="374" t="s">
        <v>67</v>
      </c>
      <c r="D13" s="371" t="s">
        <v>121</v>
      </c>
      <c r="E13" s="371" t="s">
        <v>65</v>
      </c>
      <c r="F13" s="371" t="s">
        <v>68</v>
      </c>
      <c r="G13" s="371" t="s">
        <v>64</v>
      </c>
      <c r="H13" s="371" t="s">
        <v>87</v>
      </c>
      <c r="I13" s="371" t="s">
        <v>66</v>
      </c>
      <c r="J13" s="371" t="s">
        <v>91</v>
      </c>
      <c r="K13" s="371" t="s">
        <v>76</v>
      </c>
      <c r="L13" s="371" t="s">
        <v>60</v>
      </c>
      <c r="M13" s="371" t="s">
        <v>61</v>
      </c>
      <c r="N13" s="371" t="s">
        <v>58</v>
      </c>
      <c r="O13" s="371" t="s">
        <v>34</v>
      </c>
      <c r="P13" s="371" t="s">
        <v>74</v>
      </c>
      <c r="Q13" s="371" t="s">
        <v>73</v>
      </c>
      <c r="R13" s="378" t="s">
        <v>71</v>
      </c>
      <c r="S13" s="368">
        <f t="shared" si="0"/>
        <v>11</v>
      </c>
    </row>
    <row r="14" spans="2:20" x14ac:dyDescent="0.35">
      <c r="B14" s="1" t="s">
        <v>57</v>
      </c>
      <c r="C14" s="374" t="s">
        <v>67</v>
      </c>
      <c r="D14" s="371" t="s">
        <v>79</v>
      </c>
      <c r="E14" s="371" t="s">
        <v>65</v>
      </c>
      <c r="F14" s="371" t="s">
        <v>68</v>
      </c>
      <c r="G14" s="371" t="s">
        <v>64</v>
      </c>
      <c r="H14" s="371" t="s">
        <v>87</v>
      </c>
      <c r="I14" s="371" t="s">
        <v>66</v>
      </c>
      <c r="J14" s="371" t="s">
        <v>91</v>
      </c>
      <c r="K14" s="371" t="s">
        <v>76</v>
      </c>
      <c r="L14" s="371" t="s">
        <v>60</v>
      </c>
      <c r="M14" s="371" t="s">
        <v>61</v>
      </c>
      <c r="N14" s="371" t="s">
        <v>58</v>
      </c>
      <c r="O14" s="371" t="s">
        <v>34</v>
      </c>
      <c r="P14" s="371" t="s">
        <v>74</v>
      </c>
      <c r="Q14" s="371" t="s">
        <v>90</v>
      </c>
      <c r="R14" s="378" t="s">
        <v>71</v>
      </c>
      <c r="S14" s="367">
        <f t="shared" si="0"/>
        <v>11</v>
      </c>
    </row>
    <row r="15" spans="2:20" s="185" customFormat="1" x14ac:dyDescent="0.35">
      <c r="B15" s="1" t="s">
        <v>379</v>
      </c>
      <c r="C15" s="374" t="s">
        <v>67</v>
      </c>
      <c r="D15" s="371" t="s">
        <v>121</v>
      </c>
      <c r="E15" s="371" t="s">
        <v>65</v>
      </c>
      <c r="F15" s="371" t="s">
        <v>68</v>
      </c>
      <c r="G15" s="371" t="s">
        <v>64</v>
      </c>
      <c r="H15" s="371" t="s">
        <v>69</v>
      </c>
      <c r="I15" s="371" t="s">
        <v>66</v>
      </c>
      <c r="J15" s="371" t="s">
        <v>91</v>
      </c>
      <c r="K15" s="371" t="s">
        <v>62</v>
      </c>
      <c r="L15" s="371" t="s">
        <v>60</v>
      </c>
      <c r="M15" s="371" t="s">
        <v>118</v>
      </c>
      <c r="N15" s="371" t="s">
        <v>58</v>
      </c>
      <c r="O15" s="371" t="s">
        <v>89</v>
      </c>
      <c r="P15" s="371" t="s">
        <v>74</v>
      </c>
      <c r="Q15" s="371" t="s">
        <v>90</v>
      </c>
      <c r="R15" s="378" t="s">
        <v>33</v>
      </c>
      <c r="S15" s="368">
        <f t="shared" si="0"/>
        <v>13</v>
      </c>
      <c r="T15" s="383">
        <v>5</v>
      </c>
    </row>
    <row r="16" spans="2:20" s="185" customFormat="1" x14ac:dyDescent="0.35">
      <c r="B16" s="1" t="s">
        <v>380</v>
      </c>
      <c r="C16" s="374" t="s">
        <v>67</v>
      </c>
      <c r="D16" s="371" t="s">
        <v>121</v>
      </c>
      <c r="E16" s="371" t="s">
        <v>65</v>
      </c>
      <c r="F16" s="371" t="s">
        <v>68</v>
      </c>
      <c r="G16" s="371" t="s">
        <v>64</v>
      </c>
      <c r="H16" s="371" t="s">
        <v>87</v>
      </c>
      <c r="I16" s="371" t="s">
        <v>66</v>
      </c>
      <c r="J16" s="371" t="s">
        <v>91</v>
      </c>
      <c r="K16" s="371" t="s">
        <v>76</v>
      </c>
      <c r="L16" s="371" t="s">
        <v>60</v>
      </c>
      <c r="M16" s="371" t="s">
        <v>118</v>
      </c>
      <c r="N16" s="371" t="s">
        <v>58</v>
      </c>
      <c r="O16" s="371" t="s">
        <v>89</v>
      </c>
      <c r="P16" s="371" t="s">
        <v>74</v>
      </c>
      <c r="Q16" s="371" t="s">
        <v>90</v>
      </c>
      <c r="R16" s="378" t="s">
        <v>71</v>
      </c>
      <c r="S16" s="367">
        <f t="shared" si="0"/>
        <v>12</v>
      </c>
    </row>
    <row r="17" spans="2:19" s="185" customFormat="1" x14ac:dyDescent="0.35">
      <c r="B17" s="1" t="s">
        <v>381</v>
      </c>
      <c r="C17" s="374" t="s">
        <v>67</v>
      </c>
      <c r="D17" s="371" t="s">
        <v>79</v>
      </c>
      <c r="E17" s="371" t="s">
        <v>65</v>
      </c>
      <c r="F17" s="371" t="s">
        <v>68</v>
      </c>
      <c r="G17" s="371" t="s">
        <v>64</v>
      </c>
      <c r="H17" s="371" t="s">
        <v>388</v>
      </c>
      <c r="I17" s="371" t="s">
        <v>82</v>
      </c>
      <c r="J17" s="371" t="s">
        <v>395</v>
      </c>
      <c r="K17" s="371" t="s">
        <v>403</v>
      </c>
      <c r="L17" s="371" t="s">
        <v>60</v>
      </c>
      <c r="M17" s="371" t="s">
        <v>118</v>
      </c>
      <c r="N17" s="371" t="s">
        <v>58</v>
      </c>
      <c r="O17" s="371" t="s">
        <v>89</v>
      </c>
      <c r="P17" s="371" t="s">
        <v>119</v>
      </c>
      <c r="Q17" s="371" t="s">
        <v>84</v>
      </c>
      <c r="R17" s="378" t="s">
        <v>71</v>
      </c>
      <c r="S17" s="368">
        <f t="shared" si="0"/>
        <v>9</v>
      </c>
    </row>
    <row r="18" spans="2:19" s="185" customFormat="1" x14ac:dyDescent="0.35">
      <c r="B18" s="1" t="s">
        <v>387</v>
      </c>
      <c r="C18" s="374" t="s">
        <v>67</v>
      </c>
      <c r="D18" s="371" t="s">
        <v>121</v>
      </c>
      <c r="E18" s="371" t="s">
        <v>65</v>
      </c>
      <c r="F18" s="371" t="s">
        <v>68</v>
      </c>
      <c r="G18" s="371" t="s">
        <v>64</v>
      </c>
      <c r="H18" s="371" t="s">
        <v>87</v>
      </c>
      <c r="I18" s="371" t="s">
        <v>66</v>
      </c>
      <c r="J18" s="371" t="s">
        <v>91</v>
      </c>
      <c r="K18" s="371" t="s">
        <v>76</v>
      </c>
      <c r="L18" s="371" t="s">
        <v>60</v>
      </c>
      <c r="M18" s="371" t="s">
        <v>118</v>
      </c>
      <c r="N18" s="371" t="s">
        <v>58</v>
      </c>
      <c r="O18" s="371" t="s">
        <v>89</v>
      </c>
      <c r="P18" s="371" t="s">
        <v>74</v>
      </c>
      <c r="Q18" s="371" t="s">
        <v>90</v>
      </c>
      <c r="R18" s="378" t="s">
        <v>71</v>
      </c>
      <c r="S18" s="367">
        <f t="shared" si="0"/>
        <v>12</v>
      </c>
    </row>
    <row r="19" spans="2:19" s="185" customFormat="1" ht="15" thickBot="1" x14ac:dyDescent="0.4">
      <c r="B19" s="5" t="s">
        <v>389</v>
      </c>
      <c r="C19" s="375" t="s">
        <v>67</v>
      </c>
      <c r="D19" s="376" t="s">
        <v>121</v>
      </c>
      <c r="E19" s="376" t="s">
        <v>65</v>
      </c>
      <c r="F19" s="376" t="s">
        <v>68</v>
      </c>
      <c r="G19" s="376" t="s">
        <v>64</v>
      </c>
      <c r="H19" s="376" t="s">
        <v>87</v>
      </c>
      <c r="I19" s="376" t="s">
        <v>66</v>
      </c>
      <c r="J19" s="376" t="s">
        <v>91</v>
      </c>
      <c r="K19" s="376" t="s">
        <v>76</v>
      </c>
      <c r="L19" s="376" t="s">
        <v>60</v>
      </c>
      <c r="M19" s="376" t="s">
        <v>118</v>
      </c>
      <c r="N19" s="376" t="s">
        <v>58</v>
      </c>
      <c r="O19" s="376" t="s">
        <v>89</v>
      </c>
      <c r="P19" s="376" t="s">
        <v>74</v>
      </c>
      <c r="Q19" s="376" t="s">
        <v>90</v>
      </c>
      <c r="R19" s="379" t="s">
        <v>71</v>
      </c>
      <c r="S19" s="295">
        <f t="shared" si="0"/>
        <v>12</v>
      </c>
    </row>
    <row r="20" spans="2:19" ht="15.5" thickTop="1" thickBot="1" x14ac:dyDescent="0.4">
      <c r="B20" s="78" t="s">
        <v>183</v>
      </c>
      <c r="C20" s="181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7"/>
    </row>
    <row r="21" spans="2:19" ht="15" thickTop="1" x14ac:dyDescent="0.35"/>
    <row r="22" spans="2:19" ht="15" thickBot="1" x14ac:dyDescent="0.4"/>
    <row r="23" spans="2:19" ht="15.5" thickTop="1" thickBot="1" x14ac:dyDescent="0.4">
      <c r="B23" s="93" t="s">
        <v>0</v>
      </c>
      <c r="C23" s="350" t="s">
        <v>322</v>
      </c>
      <c r="D23" s="350" t="s">
        <v>323</v>
      </c>
      <c r="E23" s="350" t="s">
        <v>324</v>
      </c>
      <c r="F23" s="350" t="s">
        <v>325</v>
      </c>
      <c r="G23" s="350" t="s">
        <v>326</v>
      </c>
      <c r="H23" s="350" t="s">
        <v>327</v>
      </c>
      <c r="I23" s="350" t="s">
        <v>337</v>
      </c>
      <c r="J23" s="350" t="s">
        <v>328</v>
      </c>
      <c r="K23" s="86" t="s">
        <v>335</v>
      </c>
      <c r="L23" s="350" t="s">
        <v>330</v>
      </c>
      <c r="M23" s="350" t="s">
        <v>331</v>
      </c>
      <c r="N23" s="350" t="s">
        <v>332</v>
      </c>
      <c r="O23" s="350" t="s">
        <v>333</v>
      </c>
      <c r="P23" s="350" t="s">
        <v>334</v>
      </c>
      <c r="Q23" s="86" t="s">
        <v>329</v>
      </c>
      <c r="R23" s="91" t="s">
        <v>336</v>
      </c>
    </row>
    <row r="24" spans="2:19" ht="15.5" thickTop="1" thickBot="1" x14ac:dyDescent="0.4">
      <c r="B24" s="49" t="s">
        <v>1</v>
      </c>
      <c r="C24" s="256" t="s">
        <v>429</v>
      </c>
      <c r="D24" s="256" t="s">
        <v>19</v>
      </c>
      <c r="E24" s="256" t="s">
        <v>26</v>
      </c>
      <c r="F24" s="256" t="s">
        <v>141</v>
      </c>
      <c r="G24" s="256" t="s">
        <v>199</v>
      </c>
      <c r="H24" s="256" t="s">
        <v>114</v>
      </c>
      <c r="I24" s="256" t="s">
        <v>25</v>
      </c>
      <c r="J24" s="256" t="s">
        <v>165</v>
      </c>
      <c r="K24" s="256" t="s">
        <v>115</v>
      </c>
      <c r="L24" s="256" t="s">
        <v>25</v>
      </c>
      <c r="M24" s="256" t="s">
        <v>111</v>
      </c>
      <c r="N24" s="256" t="s">
        <v>112</v>
      </c>
      <c r="O24" s="256" t="s">
        <v>28</v>
      </c>
      <c r="P24" s="256" t="s">
        <v>28</v>
      </c>
      <c r="Q24" s="256" t="s">
        <v>142</v>
      </c>
      <c r="R24" s="257" t="s">
        <v>141</v>
      </c>
    </row>
    <row r="25" spans="2:19" ht="15" thickTop="1" x14ac:dyDescent="0.35">
      <c r="B25" s="176" t="s">
        <v>3</v>
      </c>
      <c r="C25" s="199">
        <f>IF(C6="sea",1,"-")</f>
        <v>1</v>
      </c>
      <c r="D25" s="202">
        <f>IF(D6="mia",1,"-")</f>
        <v>1</v>
      </c>
      <c r="E25" s="202">
        <f>IF(E6="buf",1,"-")</f>
        <v>1</v>
      </c>
      <c r="F25" s="202">
        <f>IF(F6="NYG",1,"-")</f>
        <v>1</v>
      </c>
      <c r="G25" s="202">
        <f>IF(G6="GB",1,"-")</f>
        <v>1</v>
      </c>
      <c r="H25" s="202" t="str">
        <f>IF(H6="IND",1,"-")</f>
        <v>-</v>
      </c>
      <c r="I25" s="202">
        <f>IF(I6="HOU",1,"-")</f>
        <v>1</v>
      </c>
      <c r="J25" s="202">
        <f>IF(J6="BAL",1,"-")</f>
        <v>1</v>
      </c>
      <c r="K25" s="202">
        <f>IF(K6="PIT",1,"-")</f>
        <v>1</v>
      </c>
      <c r="L25" s="202" t="str">
        <f>IF(L6="TEN",1,"-")</f>
        <v>-</v>
      </c>
      <c r="M25" s="202" t="str">
        <f>IF(M6="no",1,"-")</f>
        <v>-</v>
      </c>
      <c r="N25" s="202">
        <f>IF(N6="atl",1,"-")</f>
        <v>1</v>
      </c>
      <c r="O25" s="202">
        <f>IF(O6="ne",1,"-")</f>
        <v>1</v>
      </c>
      <c r="P25" s="202">
        <f>IF(P6="oak",1,"-")</f>
        <v>1</v>
      </c>
      <c r="Q25" s="202">
        <f>IF(Q6="dal",1,"-")</f>
        <v>1</v>
      </c>
      <c r="R25" s="203" t="str">
        <f>IF(R6="car",1,"-")</f>
        <v>-</v>
      </c>
    </row>
    <row r="26" spans="2:19" x14ac:dyDescent="0.35">
      <c r="B26" s="197" t="s">
        <v>29</v>
      </c>
      <c r="C26" s="180">
        <f t="shared" ref="C26:C38" si="1">IF(C7="sea",1,"-")</f>
        <v>1</v>
      </c>
      <c r="D26" s="180">
        <f t="shared" ref="D26:D38" si="2">IF(D7="mia",1,"-")</f>
        <v>1</v>
      </c>
      <c r="E26" s="180">
        <f t="shared" ref="E26:E38" si="3">IF(E7="buf",1,"-")</f>
        <v>1</v>
      </c>
      <c r="F26" s="180">
        <f t="shared" ref="F26:F38" si="4">IF(F7="NYG",1,"-")</f>
        <v>1</v>
      </c>
      <c r="G26" s="180">
        <f t="shared" ref="G26:G38" si="5">IF(G7="GB",1,"-")</f>
        <v>1</v>
      </c>
      <c r="H26" s="180" t="str">
        <f t="shared" ref="H26:H38" si="6">IF(H7="IND",1,"-")</f>
        <v>-</v>
      </c>
      <c r="I26" s="180">
        <f t="shared" ref="I26:I38" si="7">IF(I7="HOU",1,"-")</f>
        <v>1</v>
      </c>
      <c r="J26" s="180">
        <f t="shared" ref="J26:J38" si="8">IF(J7="BAL",1,"-")</f>
        <v>1</v>
      </c>
      <c r="K26" s="180">
        <f t="shared" ref="K26:K38" si="9">IF(K7="PIT",1,"-")</f>
        <v>1</v>
      </c>
      <c r="L26" s="180" t="str">
        <f t="shared" ref="L26:L38" si="10">IF(L7="TEN",1,"-")</f>
        <v>-</v>
      </c>
      <c r="M26" s="180" t="str">
        <f t="shared" ref="M26:M38" si="11">IF(M7="no",1,"-")</f>
        <v>-</v>
      </c>
      <c r="N26" s="180">
        <f t="shared" ref="N26:N38" si="12">IF(N7="atl",1,"-")</f>
        <v>1</v>
      </c>
      <c r="O26" s="180">
        <f t="shared" ref="O26:O38" si="13">IF(O7="ne",1,"-")</f>
        <v>1</v>
      </c>
      <c r="P26" s="180">
        <f t="shared" ref="P26:P38" si="14">IF(P7="oak",1,"-")</f>
        <v>1</v>
      </c>
      <c r="Q26" s="180">
        <f t="shared" ref="Q26:Q38" si="15">IF(Q7="dal",1,"-")</f>
        <v>1</v>
      </c>
      <c r="R26" s="208" t="str">
        <f t="shared" ref="R26:R38" si="16">IF(R7="car",1,"-")</f>
        <v>-</v>
      </c>
    </row>
    <row r="27" spans="2:19" x14ac:dyDescent="0.35">
      <c r="B27" s="196" t="s">
        <v>30</v>
      </c>
      <c r="C27" s="199">
        <f t="shared" si="1"/>
        <v>1</v>
      </c>
      <c r="D27" s="199">
        <f t="shared" si="2"/>
        <v>1</v>
      </c>
      <c r="E27" s="199">
        <f t="shared" si="3"/>
        <v>1</v>
      </c>
      <c r="F27" s="199">
        <f t="shared" si="4"/>
        <v>1</v>
      </c>
      <c r="G27" s="199">
        <f t="shared" si="5"/>
        <v>1</v>
      </c>
      <c r="H27" s="199">
        <f t="shared" si="6"/>
        <v>1</v>
      </c>
      <c r="I27" s="199" t="str">
        <f t="shared" si="7"/>
        <v>-</v>
      </c>
      <c r="J27" s="199">
        <f t="shared" si="8"/>
        <v>1</v>
      </c>
      <c r="K27" s="199">
        <f t="shared" si="9"/>
        <v>1</v>
      </c>
      <c r="L27" s="199" t="str">
        <f t="shared" si="10"/>
        <v>-</v>
      </c>
      <c r="M27" s="199" t="str">
        <f t="shared" si="11"/>
        <v>-</v>
      </c>
      <c r="N27" s="199">
        <f t="shared" si="12"/>
        <v>1</v>
      </c>
      <c r="O27" s="199">
        <f t="shared" si="13"/>
        <v>1</v>
      </c>
      <c r="P27" s="199">
        <f t="shared" si="14"/>
        <v>1</v>
      </c>
      <c r="Q27" s="199">
        <f t="shared" si="15"/>
        <v>1</v>
      </c>
      <c r="R27" s="201" t="str">
        <f t="shared" si="16"/>
        <v>-</v>
      </c>
    </row>
    <row r="28" spans="2:19" x14ac:dyDescent="0.35">
      <c r="B28" s="197" t="s">
        <v>31</v>
      </c>
      <c r="C28" s="180">
        <f t="shared" si="1"/>
        <v>1</v>
      </c>
      <c r="D28" s="180" t="str">
        <f t="shared" si="2"/>
        <v>-</v>
      </c>
      <c r="E28" s="180" t="str">
        <f t="shared" si="3"/>
        <v>-</v>
      </c>
      <c r="F28" s="180" t="str">
        <f t="shared" si="4"/>
        <v>-</v>
      </c>
      <c r="G28" s="180" t="str">
        <f t="shared" si="5"/>
        <v>-</v>
      </c>
      <c r="H28" s="180" t="str">
        <f t="shared" si="6"/>
        <v>-</v>
      </c>
      <c r="I28" s="180" t="str">
        <f t="shared" si="7"/>
        <v>-</v>
      </c>
      <c r="J28" s="180" t="str">
        <f t="shared" si="8"/>
        <v>-</v>
      </c>
      <c r="K28" s="180" t="str">
        <f t="shared" si="9"/>
        <v>-</v>
      </c>
      <c r="L28" s="180" t="str">
        <f t="shared" si="10"/>
        <v>-</v>
      </c>
      <c r="M28" s="180" t="str">
        <f t="shared" si="11"/>
        <v>-</v>
      </c>
      <c r="N28" s="180" t="str">
        <f t="shared" si="12"/>
        <v>-</v>
      </c>
      <c r="O28" s="180" t="str">
        <f t="shared" si="13"/>
        <v>-</v>
      </c>
      <c r="P28" s="180" t="str">
        <f t="shared" si="14"/>
        <v>-</v>
      </c>
      <c r="Q28" s="180" t="str">
        <f t="shared" si="15"/>
        <v>-</v>
      </c>
      <c r="R28" s="208" t="str">
        <f t="shared" si="16"/>
        <v>-</v>
      </c>
    </row>
    <row r="29" spans="2:19" x14ac:dyDescent="0.35">
      <c r="B29" s="196" t="s">
        <v>32</v>
      </c>
      <c r="C29" s="199">
        <f t="shared" si="1"/>
        <v>1</v>
      </c>
      <c r="D29" s="199" t="str">
        <f t="shared" si="2"/>
        <v>-</v>
      </c>
      <c r="E29" s="199">
        <f t="shared" si="3"/>
        <v>1</v>
      </c>
      <c r="F29" s="199">
        <f t="shared" si="4"/>
        <v>1</v>
      </c>
      <c r="G29" s="199">
        <f t="shared" si="5"/>
        <v>1</v>
      </c>
      <c r="H29" s="199" t="str">
        <f t="shared" si="6"/>
        <v>-</v>
      </c>
      <c r="I29" s="199">
        <f t="shared" si="7"/>
        <v>1</v>
      </c>
      <c r="J29" s="199">
        <f t="shared" si="8"/>
        <v>1</v>
      </c>
      <c r="K29" s="199">
        <f t="shared" si="9"/>
        <v>1</v>
      </c>
      <c r="L29" s="199" t="str">
        <f t="shared" si="10"/>
        <v>-</v>
      </c>
      <c r="M29" s="199" t="str">
        <f t="shared" si="11"/>
        <v>-</v>
      </c>
      <c r="N29" s="199">
        <f t="shared" si="12"/>
        <v>1</v>
      </c>
      <c r="O29" s="199">
        <f t="shared" si="13"/>
        <v>1</v>
      </c>
      <c r="P29" s="199" t="str">
        <f t="shared" si="14"/>
        <v>-</v>
      </c>
      <c r="Q29" s="199">
        <f t="shared" si="15"/>
        <v>1</v>
      </c>
      <c r="R29" s="201" t="str">
        <f t="shared" si="16"/>
        <v>-</v>
      </c>
    </row>
    <row r="30" spans="2:19" x14ac:dyDescent="0.35">
      <c r="B30" s="197" t="s">
        <v>35</v>
      </c>
      <c r="C30" s="180">
        <f t="shared" si="1"/>
        <v>1</v>
      </c>
      <c r="D30" s="180">
        <f t="shared" si="2"/>
        <v>1</v>
      </c>
      <c r="E30" s="180">
        <f t="shared" si="3"/>
        <v>1</v>
      </c>
      <c r="F30" s="180">
        <f t="shared" si="4"/>
        <v>1</v>
      </c>
      <c r="G30" s="180">
        <f t="shared" si="5"/>
        <v>1</v>
      </c>
      <c r="H30" s="180" t="str">
        <f t="shared" si="6"/>
        <v>-</v>
      </c>
      <c r="I30" s="180">
        <f t="shared" si="7"/>
        <v>1</v>
      </c>
      <c r="J30" s="180">
        <f t="shared" si="8"/>
        <v>1</v>
      </c>
      <c r="K30" s="180">
        <f t="shared" si="9"/>
        <v>1</v>
      </c>
      <c r="L30" s="180" t="str">
        <f t="shared" si="10"/>
        <v>-</v>
      </c>
      <c r="M30" s="180">
        <f t="shared" si="11"/>
        <v>1</v>
      </c>
      <c r="N30" s="180">
        <f t="shared" si="12"/>
        <v>1</v>
      </c>
      <c r="O30" s="180">
        <f t="shared" si="13"/>
        <v>1</v>
      </c>
      <c r="P30" s="180">
        <f t="shared" si="14"/>
        <v>1</v>
      </c>
      <c r="Q30" s="180">
        <f t="shared" si="15"/>
        <v>1</v>
      </c>
      <c r="R30" s="208" t="str">
        <f t="shared" si="16"/>
        <v>-</v>
      </c>
    </row>
    <row r="31" spans="2:19" x14ac:dyDescent="0.35">
      <c r="B31" s="196" t="s">
        <v>36</v>
      </c>
      <c r="C31" s="199">
        <f t="shared" si="1"/>
        <v>1</v>
      </c>
      <c r="D31" s="199">
        <f t="shared" si="2"/>
        <v>1</v>
      </c>
      <c r="E31" s="199">
        <f t="shared" si="3"/>
        <v>1</v>
      </c>
      <c r="F31" s="199">
        <f t="shared" si="4"/>
        <v>1</v>
      </c>
      <c r="G31" s="199">
        <f t="shared" si="5"/>
        <v>1</v>
      </c>
      <c r="H31" s="199" t="str">
        <f t="shared" si="6"/>
        <v>-</v>
      </c>
      <c r="I31" s="199">
        <f t="shared" si="7"/>
        <v>1</v>
      </c>
      <c r="J31" s="199">
        <f t="shared" si="8"/>
        <v>1</v>
      </c>
      <c r="K31" s="199">
        <f t="shared" si="9"/>
        <v>1</v>
      </c>
      <c r="L31" s="199" t="str">
        <f t="shared" si="10"/>
        <v>-</v>
      </c>
      <c r="M31" s="199" t="str">
        <f t="shared" si="11"/>
        <v>-</v>
      </c>
      <c r="N31" s="199">
        <f t="shared" si="12"/>
        <v>1</v>
      </c>
      <c r="O31" s="199">
        <f t="shared" si="13"/>
        <v>1</v>
      </c>
      <c r="P31" s="199">
        <f t="shared" si="14"/>
        <v>1</v>
      </c>
      <c r="Q31" s="199">
        <f t="shared" si="15"/>
        <v>1</v>
      </c>
      <c r="R31" s="201" t="str">
        <f t="shared" si="16"/>
        <v>-</v>
      </c>
    </row>
    <row r="32" spans="2:19" x14ac:dyDescent="0.35">
      <c r="B32" s="197" t="s">
        <v>37</v>
      </c>
      <c r="C32" s="180">
        <f t="shared" si="1"/>
        <v>1</v>
      </c>
      <c r="D32" s="180">
        <f t="shared" si="2"/>
        <v>1</v>
      </c>
      <c r="E32" s="180">
        <f t="shared" si="3"/>
        <v>1</v>
      </c>
      <c r="F32" s="180">
        <f t="shared" si="4"/>
        <v>1</v>
      </c>
      <c r="G32" s="180">
        <f t="shared" si="5"/>
        <v>1</v>
      </c>
      <c r="H32" s="180" t="str">
        <f t="shared" si="6"/>
        <v>-</v>
      </c>
      <c r="I32" s="180">
        <f t="shared" si="7"/>
        <v>1</v>
      </c>
      <c r="J32" s="180">
        <f t="shared" si="8"/>
        <v>1</v>
      </c>
      <c r="K32" s="180">
        <f t="shared" si="9"/>
        <v>1</v>
      </c>
      <c r="L32" s="180" t="str">
        <f t="shared" si="10"/>
        <v>-</v>
      </c>
      <c r="M32" s="180">
        <f t="shared" si="11"/>
        <v>1</v>
      </c>
      <c r="N32" s="180">
        <f t="shared" si="12"/>
        <v>1</v>
      </c>
      <c r="O32" s="180" t="str">
        <f t="shared" si="13"/>
        <v>-</v>
      </c>
      <c r="P32" s="180">
        <f t="shared" si="14"/>
        <v>1</v>
      </c>
      <c r="Q32" s="180" t="str">
        <f t="shared" si="15"/>
        <v>-</v>
      </c>
      <c r="R32" s="208" t="str">
        <f t="shared" si="16"/>
        <v>-</v>
      </c>
    </row>
    <row r="33" spans="2:18" x14ac:dyDescent="0.35">
      <c r="B33" s="196" t="s">
        <v>57</v>
      </c>
      <c r="C33" s="199">
        <f t="shared" si="1"/>
        <v>1</v>
      </c>
      <c r="D33" s="199" t="str">
        <f t="shared" si="2"/>
        <v>-</v>
      </c>
      <c r="E33" s="199">
        <f t="shared" si="3"/>
        <v>1</v>
      </c>
      <c r="F33" s="199">
        <f t="shared" si="4"/>
        <v>1</v>
      </c>
      <c r="G33" s="199">
        <f t="shared" si="5"/>
        <v>1</v>
      </c>
      <c r="H33" s="199" t="str">
        <f t="shared" si="6"/>
        <v>-</v>
      </c>
      <c r="I33" s="199">
        <f t="shared" si="7"/>
        <v>1</v>
      </c>
      <c r="J33" s="199">
        <f t="shared" si="8"/>
        <v>1</v>
      </c>
      <c r="K33" s="199">
        <f t="shared" si="9"/>
        <v>1</v>
      </c>
      <c r="L33" s="199" t="str">
        <f t="shared" si="10"/>
        <v>-</v>
      </c>
      <c r="M33" s="199">
        <f t="shared" si="11"/>
        <v>1</v>
      </c>
      <c r="N33" s="199">
        <f t="shared" si="12"/>
        <v>1</v>
      </c>
      <c r="O33" s="199" t="str">
        <f t="shared" si="13"/>
        <v>-</v>
      </c>
      <c r="P33" s="199">
        <f t="shared" si="14"/>
        <v>1</v>
      </c>
      <c r="Q33" s="199">
        <f t="shared" si="15"/>
        <v>1</v>
      </c>
      <c r="R33" s="201" t="str">
        <f t="shared" si="16"/>
        <v>-</v>
      </c>
    </row>
    <row r="34" spans="2:18" x14ac:dyDescent="0.35">
      <c r="B34" s="197" t="s">
        <v>379</v>
      </c>
      <c r="C34" s="180">
        <f t="shared" si="1"/>
        <v>1</v>
      </c>
      <c r="D34" s="180">
        <f t="shared" si="2"/>
        <v>1</v>
      </c>
      <c r="E34" s="180">
        <f t="shared" si="3"/>
        <v>1</v>
      </c>
      <c r="F34" s="180">
        <f t="shared" si="4"/>
        <v>1</v>
      </c>
      <c r="G34" s="180">
        <f t="shared" si="5"/>
        <v>1</v>
      </c>
      <c r="H34" s="180">
        <f t="shared" si="6"/>
        <v>1</v>
      </c>
      <c r="I34" s="180">
        <f t="shared" si="7"/>
        <v>1</v>
      </c>
      <c r="J34" s="180">
        <f t="shared" si="8"/>
        <v>1</v>
      </c>
      <c r="K34" s="180" t="str">
        <f t="shared" si="9"/>
        <v>-</v>
      </c>
      <c r="L34" s="180" t="str">
        <f t="shared" si="10"/>
        <v>-</v>
      </c>
      <c r="M34" s="180" t="str">
        <f t="shared" si="11"/>
        <v>-</v>
      </c>
      <c r="N34" s="180">
        <f t="shared" si="12"/>
        <v>1</v>
      </c>
      <c r="O34" s="180">
        <f t="shared" si="13"/>
        <v>1</v>
      </c>
      <c r="P34" s="180">
        <f t="shared" si="14"/>
        <v>1</v>
      </c>
      <c r="Q34" s="180">
        <f t="shared" si="15"/>
        <v>1</v>
      </c>
      <c r="R34" s="208">
        <f t="shared" si="16"/>
        <v>1</v>
      </c>
    </row>
    <row r="35" spans="2:18" x14ac:dyDescent="0.35">
      <c r="B35" s="196" t="s">
        <v>380</v>
      </c>
      <c r="C35" s="199">
        <f t="shared" si="1"/>
        <v>1</v>
      </c>
      <c r="D35" s="199">
        <f t="shared" si="2"/>
        <v>1</v>
      </c>
      <c r="E35" s="199">
        <f t="shared" si="3"/>
        <v>1</v>
      </c>
      <c r="F35" s="199">
        <f t="shared" si="4"/>
        <v>1</v>
      </c>
      <c r="G35" s="199">
        <f t="shared" si="5"/>
        <v>1</v>
      </c>
      <c r="H35" s="199" t="str">
        <f t="shared" si="6"/>
        <v>-</v>
      </c>
      <c r="I35" s="199">
        <f t="shared" si="7"/>
        <v>1</v>
      </c>
      <c r="J35" s="199">
        <f t="shared" si="8"/>
        <v>1</v>
      </c>
      <c r="K35" s="199">
        <f t="shared" si="9"/>
        <v>1</v>
      </c>
      <c r="L35" s="199" t="str">
        <f t="shared" si="10"/>
        <v>-</v>
      </c>
      <c r="M35" s="199" t="str">
        <f t="shared" si="11"/>
        <v>-</v>
      </c>
      <c r="N35" s="199">
        <f t="shared" si="12"/>
        <v>1</v>
      </c>
      <c r="O35" s="199">
        <f t="shared" si="13"/>
        <v>1</v>
      </c>
      <c r="P35" s="199">
        <f t="shared" si="14"/>
        <v>1</v>
      </c>
      <c r="Q35" s="199">
        <f t="shared" si="15"/>
        <v>1</v>
      </c>
      <c r="R35" s="201" t="str">
        <f t="shared" si="16"/>
        <v>-</v>
      </c>
    </row>
    <row r="36" spans="2:18" x14ac:dyDescent="0.35">
      <c r="B36" s="197" t="s">
        <v>381</v>
      </c>
      <c r="C36" s="180">
        <f t="shared" si="1"/>
        <v>1</v>
      </c>
      <c r="D36" s="180" t="str">
        <f t="shared" si="2"/>
        <v>-</v>
      </c>
      <c r="E36" s="180">
        <f t="shared" si="3"/>
        <v>1</v>
      </c>
      <c r="F36" s="180">
        <f t="shared" si="4"/>
        <v>1</v>
      </c>
      <c r="G36" s="180">
        <f t="shared" si="5"/>
        <v>1</v>
      </c>
      <c r="H36" s="180" t="str">
        <f t="shared" si="6"/>
        <v>-</v>
      </c>
      <c r="I36" s="180">
        <f t="shared" si="7"/>
        <v>1</v>
      </c>
      <c r="J36" s="180">
        <f t="shared" si="8"/>
        <v>1</v>
      </c>
      <c r="K36" s="180" t="str">
        <f t="shared" si="9"/>
        <v>-</v>
      </c>
      <c r="L36" s="180" t="str">
        <f t="shared" si="10"/>
        <v>-</v>
      </c>
      <c r="M36" s="180" t="str">
        <f t="shared" si="11"/>
        <v>-</v>
      </c>
      <c r="N36" s="180">
        <f t="shared" si="12"/>
        <v>1</v>
      </c>
      <c r="O36" s="180">
        <f t="shared" si="13"/>
        <v>1</v>
      </c>
      <c r="P36" s="180" t="str">
        <f t="shared" si="14"/>
        <v>-</v>
      </c>
      <c r="Q36" s="180">
        <f t="shared" si="15"/>
        <v>1</v>
      </c>
      <c r="R36" s="208" t="str">
        <f t="shared" si="16"/>
        <v>-</v>
      </c>
    </row>
    <row r="37" spans="2:18" x14ac:dyDescent="0.35">
      <c r="B37" s="196" t="s">
        <v>387</v>
      </c>
      <c r="C37" s="199">
        <f t="shared" si="1"/>
        <v>1</v>
      </c>
      <c r="D37" s="199">
        <f t="shared" si="2"/>
        <v>1</v>
      </c>
      <c r="E37" s="199">
        <f t="shared" si="3"/>
        <v>1</v>
      </c>
      <c r="F37" s="199">
        <f t="shared" si="4"/>
        <v>1</v>
      </c>
      <c r="G37" s="199">
        <f t="shared" si="5"/>
        <v>1</v>
      </c>
      <c r="H37" s="199" t="str">
        <f t="shared" si="6"/>
        <v>-</v>
      </c>
      <c r="I37" s="199">
        <f t="shared" si="7"/>
        <v>1</v>
      </c>
      <c r="J37" s="199">
        <f t="shared" si="8"/>
        <v>1</v>
      </c>
      <c r="K37" s="199">
        <f t="shared" si="9"/>
        <v>1</v>
      </c>
      <c r="L37" s="199" t="str">
        <f t="shared" si="10"/>
        <v>-</v>
      </c>
      <c r="M37" s="199" t="str">
        <f t="shared" si="11"/>
        <v>-</v>
      </c>
      <c r="N37" s="199">
        <f t="shared" si="12"/>
        <v>1</v>
      </c>
      <c r="O37" s="199">
        <f t="shared" si="13"/>
        <v>1</v>
      </c>
      <c r="P37" s="199">
        <f t="shared" si="14"/>
        <v>1</v>
      </c>
      <c r="Q37" s="199">
        <f t="shared" si="15"/>
        <v>1</v>
      </c>
      <c r="R37" s="201" t="str">
        <f t="shared" si="16"/>
        <v>-</v>
      </c>
    </row>
    <row r="38" spans="2:18" ht="15" thickBot="1" x14ac:dyDescent="0.4">
      <c r="B38" s="204" t="s">
        <v>389</v>
      </c>
      <c r="C38" s="209">
        <f t="shared" si="1"/>
        <v>1</v>
      </c>
      <c r="D38" s="209">
        <f t="shared" si="2"/>
        <v>1</v>
      </c>
      <c r="E38" s="209">
        <f t="shared" si="3"/>
        <v>1</v>
      </c>
      <c r="F38" s="209">
        <f t="shared" si="4"/>
        <v>1</v>
      </c>
      <c r="G38" s="209">
        <f t="shared" si="5"/>
        <v>1</v>
      </c>
      <c r="H38" s="209" t="str">
        <f t="shared" si="6"/>
        <v>-</v>
      </c>
      <c r="I38" s="209">
        <f t="shared" si="7"/>
        <v>1</v>
      </c>
      <c r="J38" s="209">
        <f t="shared" si="8"/>
        <v>1</v>
      </c>
      <c r="K38" s="209">
        <f t="shared" si="9"/>
        <v>1</v>
      </c>
      <c r="L38" s="209" t="str">
        <f t="shared" si="10"/>
        <v>-</v>
      </c>
      <c r="M38" s="209" t="str">
        <f t="shared" si="11"/>
        <v>-</v>
      </c>
      <c r="N38" s="209">
        <f t="shared" si="12"/>
        <v>1</v>
      </c>
      <c r="O38" s="209">
        <f t="shared" si="13"/>
        <v>1</v>
      </c>
      <c r="P38" s="209">
        <f t="shared" si="14"/>
        <v>1</v>
      </c>
      <c r="Q38" s="209">
        <f t="shared" si="15"/>
        <v>1</v>
      </c>
      <c r="R38" s="210" t="str">
        <f t="shared" si="16"/>
        <v>-</v>
      </c>
    </row>
    <row r="39" spans="2:18" ht="15" thickTop="1" x14ac:dyDescent="0.35"/>
  </sheetData>
  <mergeCells count="1">
    <mergeCell ref="S4:S5"/>
  </mergeCells>
  <conditionalFormatting sqref="A1:XFD3 A21:XFD22 A4:A20 T4:XFD20 A39:XFD1048576 A23:A38 S23:XFD38">
    <cfRule type="cellIs" dxfId="1454" priority="548" operator="equal">
      <formula>"PHI"</formula>
    </cfRule>
    <cfRule type="cellIs" dxfId="1453" priority="549" operator="equal">
      <formula>"GB"</formula>
    </cfRule>
    <cfRule type="cellIs" dxfId="1452" priority="550" operator="equal">
      <formula>"MIN"</formula>
    </cfRule>
    <cfRule type="cellIs" dxfId="1451" priority="551" operator="equal">
      <formula>"NYG"</formula>
    </cfRule>
    <cfRule type="cellIs" dxfId="1450" priority="552" operator="equal">
      <formula>"PIT"</formula>
    </cfRule>
    <cfRule type="cellIs" dxfId="1449" priority="553" operator="equal">
      <formula>"KC"</formula>
    </cfRule>
    <cfRule type="cellIs" dxfId="1448" priority="554" operator="equal">
      <formula>"ARI"</formula>
    </cfRule>
    <cfRule type="cellIs" dxfId="1447" priority="555" operator="equal">
      <formula>"LA"</formula>
    </cfRule>
    <cfRule type="cellIs" dxfId="1446" priority="556" operator="equal">
      <formula>"SD"</formula>
    </cfRule>
    <cfRule type="cellIs" dxfId="1445" priority="557" operator="equal">
      <formula>"NO"</formula>
    </cfRule>
    <cfRule type="cellIs" dxfId="1444" priority="558" operator="equal">
      <formula>"SF"</formula>
    </cfRule>
    <cfRule type="cellIs" dxfId="1443" priority="559" operator="equal">
      <formula>"DAL"</formula>
    </cfRule>
    <cfRule type="cellIs" dxfId="1442" priority="560" operator="equal">
      <formula>"TB"</formula>
    </cfRule>
    <cfRule type="cellIs" dxfId="1441" priority="561" operator="equal">
      <formula>"DEN"</formula>
    </cfRule>
    <cfRule type="cellIs" dxfId="1440" priority="562" operator="equal">
      <formula>"BAL"</formula>
    </cfRule>
    <cfRule type="cellIs" dxfId="1439" priority="563" operator="equal">
      <formula>"OAK"</formula>
    </cfRule>
    <cfRule type="cellIs" dxfId="1438" priority="564" operator="equal">
      <formula>"HOU"</formula>
    </cfRule>
    <cfRule type="cellIs" dxfId="1437" priority="565" operator="equal">
      <formula>"TEN"</formula>
    </cfRule>
    <cfRule type="cellIs" dxfId="1436" priority="566" operator="equal">
      <formula>"CHI"</formula>
    </cfRule>
    <cfRule type="cellIs" dxfId="1435" priority="567" operator="equal">
      <formula>"DET"</formula>
    </cfRule>
    <cfRule type="cellIs" dxfId="1434" priority="568" operator="equal">
      <formula>"ATL"</formula>
    </cfRule>
    <cfRule type="cellIs" dxfId="1433" priority="569" operator="equal">
      <formula>"CAR"</formula>
    </cfRule>
    <cfRule type="cellIs" dxfId="1432" priority="570" operator="equal">
      <formula>"IND"</formula>
    </cfRule>
    <cfRule type="cellIs" dxfId="1431" priority="571" operator="equal">
      <formula>"JAX"</formula>
    </cfRule>
    <cfRule type="cellIs" dxfId="1430" priority="572" operator="equal">
      <formula>"NYJ"</formula>
    </cfRule>
    <cfRule type="cellIs" dxfId="1429" priority="573" operator="equal">
      <formula>"SEA"</formula>
    </cfRule>
    <cfRule type="cellIs" dxfId="1428" priority="574" operator="equal">
      <formula>"NE"</formula>
    </cfRule>
    <cfRule type="cellIs" dxfId="1427" priority="575" operator="equal">
      <formula>"BUF"</formula>
    </cfRule>
    <cfRule type="cellIs" dxfId="1426" priority="576" operator="equal">
      <formula>"WAS"</formula>
    </cfRule>
    <cfRule type="cellIs" dxfId="1425" priority="577" operator="equal">
      <formula>"CLE"</formula>
    </cfRule>
    <cfRule type="cellIs" dxfId="1424" priority="578" operator="equal">
      <formula>"CIN"</formula>
    </cfRule>
    <cfRule type="cellIs" dxfId="1423" priority="579" operator="equal">
      <formula>"MIA"</formula>
    </cfRule>
  </conditionalFormatting>
  <conditionalFormatting sqref="S20">
    <cfRule type="cellIs" dxfId="1422" priority="451" operator="equal">
      <formula>"PHI"</formula>
    </cfRule>
    <cfRule type="cellIs" dxfId="1421" priority="452" operator="equal">
      <formula>"GB"</formula>
    </cfRule>
    <cfRule type="cellIs" dxfId="1420" priority="453" operator="equal">
      <formula>"MIN"</formula>
    </cfRule>
    <cfRule type="cellIs" dxfId="1419" priority="454" operator="equal">
      <formula>"NYG"</formula>
    </cfRule>
    <cfRule type="cellIs" dxfId="1418" priority="455" operator="equal">
      <formula>"PIT"</formula>
    </cfRule>
    <cfRule type="cellIs" dxfId="1417" priority="456" operator="equal">
      <formula>"KC"</formula>
    </cfRule>
    <cfRule type="cellIs" dxfId="1416" priority="457" operator="equal">
      <formula>"ARI"</formula>
    </cfRule>
    <cfRule type="cellIs" dxfId="1415" priority="458" operator="equal">
      <formula>"LA"</formula>
    </cfRule>
    <cfRule type="cellIs" dxfId="1414" priority="459" operator="equal">
      <formula>"SD"</formula>
    </cfRule>
    <cfRule type="cellIs" dxfId="1413" priority="460" operator="equal">
      <formula>"NO"</formula>
    </cfRule>
    <cfRule type="cellIs" dxfId="1412" priority="461" operator="equal">
      <formula>"SF"</formula>
    </cfRule>
    <cfRule type="cellIs" dxfId="1411" priority="462" operator="equal">
      <formula>"DAL"</formula>
    </cfRule>
    <cfRule type="cellIs" dxfId="1410" priority="463" operator="equal">
      <formula>"TB"</formula>
    </cfRule>
    <cfRule type="cellIs" dxfId="1409" priority="464" operator="equal">
      <formula>"DEN"</formula>
    </cfRule>
    <cfRule type="cellIs" dxfId="1408" priority="465" operator="equal">
      <formula>"BAL"</formula>
    </cfRule>
    <cfRule type="cellIs" dxfId="1407" priority="466" operator="equal">
      <formula>"OAK"</formula>
    </cfRule>
    <cfRule type="cellIs" dxfId="1406" priority="467" operator="equal">
      <formula>"HOU"</formula>
    </cfRule>
    <cfRule type="cellIs" dxfId="1405" priority="468" operator="equal">
      <formula>"TEN"</formula>
    </cfRule>
    <cfRule type="cellIs" dxfId="1404" priority="469" operator="equal">
      <formula>"CHI"</formula>
    </cfRule>
    <cfRule type="cellIs" dxfId="1403" priority="470" operator="equal">
      <formula>"DET"</formula>
    </cfRule>
    <cfRule type="cellIs" dxfId="1402" priority="471" operator="equal">
      <formula>"ATL"</formula>
    </cfRule>
    <cfRule type="cellIs" dxfId="1401" priority="472" operator="equal">
      <formula>"CAR"</formula>
    </cfRule>
    <cfRule type="cellIs" dxfId="1400" priority="473" operator="equal">
      <formula>"IND"</formula>
    </cfRule>
    <cfRule type="cellIs" dxfId="1399" priority="474" operator="equal">
      <formula>"JAX"</formula>
    </cfRule>
    <cfRule type="cellIs" dxfId="1398" priority="475" operator="equal">
      <formula>"NYJ"</formula>
    </cfRule>
    <cfRule type="cellIs" dxfId="1397" priority="476" operator="equal">
      <formula>"SEA"</formula>
    </cfRule>
    <cfRule type="cellIs" dxfId="1396" priority="477" operator="equal">
      <formula>"NE"</formula>
    </cfRule>
    <cfRule type="cellIs" dxfId="1395" priority="478" operator="equal">
      <formula>"BUF"</formula>
    </cfRule>
    <cfRule type="cellIs" dxfId="1394" priority="479" operator="equal">
      <formula>"WAS"</formula>
    </cfRule>
    <cfRule type="cellIs" dxfId="1393" priority="480" operator="equal">
      <formula>"CLE"</formula>
    </cfRule>
    <cfRule type="cellIs" dxfId="1392" priority="481" operator="equal">
      <formula>"CIN"</formula>
    </cfRule>
    <cfRule type="cellIs" dxfId="1391" priority="482" operator="equal">
      <formula>"MIA"</formula>
    </cfRule>
  </conditionalFormatting>
  <conditionalFormatting sqref="S4:S5">
    <cfRule type="cellIs" dxfId="1390" priority="419" operator="equal">
      <formula>"PHI"</formula>
    </cfRule>
    <cfRule type="cellIs" dxfId="1389" priority="420" operator="equal">
      <formula>"GB"</formula>
    </cfRule>
    <cfRule type="cellIs" dxfId="1388" priority="421" operator="equal">
      <formula>"MIN"</formula>
    </cfRule>
    <cfRule type="cellIs" dxfId="1387" priority="422" operator="equal">
      <formula>"NYG"</formula>
    </cfRule>
    <cfRule type="cellIs" dxfId="1386" priority="423" operator="equal">
      <formula>"PIT"</formula>
    </cfRule>
    <cfRule type="cellIs" dxfId="1385" priority="424" operator="equal">
      <formula>"KC"</formula>
    </cfRule>
    <cfRule type="cellIs" dxfId="1384" priority="425" operator="equal">
      <formula>"ARI"</formula>
    </cfRule>
    <cfRule type="cellIs" dxfId="1383" priority="426" operator="equal">
      <formula>"LA"</formula>
    </cfRule>
    <cfRule type="cellIs" dxfId="1382" priority="427" operator="equal">
      <formula>"SD"</formula>
    </cfRule>
    <cfRule type="cellIs" dxfId="1381" priority="428" operator="equal">
      <formula>"NO"</formula>
    </cfRule>
    <cfRule type="cellIs" dxfId="1380" priority="429" operator="equal">
      <formula>"SF"</formula>
    </cfRule>
    <cfRule type="cellIs" dxfId="1379" priority="430" operator="equal">
      <formula>"DAL"</formula>
    </cfRule>
    <cfRule type="cellIs" dxfId="1378" priority="431" operator="equal">
      <formula>"TB"</formula>
    </cfRule>
    <cfRule type="cellIs" dxfId="1377" priority="432" operator="equal">
      <formula>"DEN"</formula>
    </cfRule>
    <cfRule type="cellIs" dxfId="1376" priority="433" operator="equal">
      <formula>"BAL"</formula>
    </cfRule>
    <cfRule type="cellIs" dxfId="1375" priority="434" operator="equal">
      <formula>"OAK"</formula>
    </cfRule>
    <cfRule type="cellIs" dxfId="1374" priority="435" operator="equal">
      <formula>"HOU"</formula>
    </cfRule>
    <cfRule type="cellIs" dxfId="1373" priority="436" operator="equal">
      <formula>"TEN"</formula>
    </cfRule>
    <cfRule type="cellIs" dxfId="1372" priority="437" operator="equal">
      <formula>"CHI"</formula>
    </cfRule>
    <cfRule type="cellIs" dxfId="1371" priority="438" operator="equal">
      <formula>"DET"</formula>
    </cfRule>
    <cfRule type="cellIs" dxfId="1370" priority="439" operator="equal">
      <formula>"ATL"</formula>
    </cfRule>
    <cfRule type="cellIs" dxfId="1369" priority="440" operator="equal">
      <formula>"CAR"</formula>
    </cfRule>
    <cfRule type="cellIs" dxfId="1368" priority="441" operator="equal">
      <formula>"IND"</formula>
    </cfRule>
    <cfRule type="cellIs" dxfId="1367" priority="442" operator="equal">
      <formula>"JAX"</formula>
    </cfRule>
    <cfRule type="cellIs" dxfId="1366" priority="443" operator="equal">
      <formula>"NYJ"</formula>
    </cfRule>
    <cfRule type="cellIs" dxfId="1365" priority="444" operator="equal">
      <formula>"SEA"</formula>
    </cfRule>
    <cfRule type="cellIs" dxfId="1364" priority="445" operator="equal">
      <formula>"NE"</formula>
    </cfRule>
    <cfRule type="cellIs" dxfId="1363" priority="446" operator="equal">
      <formula>"BUF"</formula>
    </cfRule>
    <cfRule type="cellIs" dxfId="1362" priority="447" operator="equal">
      <formula>"WAS"</formula>
    </cfRule>
    <cfRule type="cellIs" dxfId="1361" priority="448" operator="equal">
      <formula>"CLE"</formula>
    </cfRule>
    <cfRule type="cellIs" dxfId="1360" priority="449" operator="equal">
      <formula>"CIN"</formula>
    </cfRule>
    <cfRule type="cellIs" dxfId="1359" priority="450" operator="equal">
      <formula>"MIA"</formula>
    </cfRule>
  </conditionalFormatting>
  <conditionalFormatting sqref="B20">
    <cfRule type="cellIs" dxfId="1358" priority="387" operator="equal">
      <formula>"PHI"</formula>
    </cfRule>
    <cfRule type="cellIs" dxfId="1357" priority="388" operator="equal">
      <formula>"GB"</formula>
    </cfRule>
    <cfRule type="cellIs" dxfId="1356" priority="389" operator="equal">
      <formula>"MIN"</formula>
    </cfRule>
    <cfRule type="cellIs" dxfId="1355" priority="390" operator="equal">
      <formula>"NYG"</formula>
    </cfRule>
    <cfRule type="cellIs" dxfId="1354" priority="391" operator="equal">
      <formula>"PIT"</formula>
    </cfRule>
    <cfRule type="cellIs" dxfId="1353" priority="392" operator="equal">
      <formula>"KC"</formula>
    </cfRule>
    <cfRule type="cellIs" dxfId="1352" priority="393" operator="equal">
      <formula>"ARI"</formula>
    </cfRule>
    <cfRule type="cellIs" dxfId="1351" priority="394" operator="equal">
      <formula>"LA"</formula>
    </cfRule>
    <cfRule type="cellIs" dxfId="1350" priority="395" operator="equal">
      <formula>"SD"</formula>
    </cfRule>
    <cfRule type="cellIs" dxfId="1349" priority="396" operator="equal">
      <formula>"NO"</formula>
    </cfRule>
    <cfRule type="cellIs" dxfId="1348" priority="397" operator="equal">
      <formula>"SF"</formula>
    </cfRule>
    <cfRule type="cellIs" dxfId="1347" priority="398" operator="equal">
      <formula>"DAL"</formula>
    </cfRule>
    <cfRule type="cellIs" dxfId="1346" priority="399" operator="equal">
      <formula>"TB"</formula>
    </cfRule>
    <cfRule type="cellIs" dxfId="1345" priority="400" operator="equal">
      <formula>"DEN"</formula>
    </cfRule>
    <cfRule type="cellIs" dxfId="1344" priority="401" operator="equal">
      <formula>"BAL"</formula>
    </cfRule>
    <cfRule type="cellIs" dxfId="1343" priority="402" operator="equal">
      <formula>"OAK"</formula>
    </cfRule>
    <cfRule type="cellIs" dxfId="1342" priority="403" operator="equal">
      <formula>"HOU"</formula>
    </cfRule>
    <cfRule type="cellIs" dxfId="1341" priority="404" operator="equal">
      <formula>"TEN"</formula>
    </cfRule>
    <cfRule type="cellIs" dxfId="1340" priority="405" operator="equal">
      <formula>"CHI"</formula>
    </cfRule>
    <cfRule type="cellIs" dxfId="1339" priority="406" operator="equal">
      <formula>"DET"</formula>
    </cfRule>
    <cfRule type="cellIs" dxfId="1338" priority="407" operator="equal">
      <formula>"ATL"</formula>
    </cfRule>
    <cfRule type="cellIs" dxfId="1337" priority="408" operator="equal">
      <formula>"CAR"</formula>
    </cfRule>
    <cfRule type="cellIs" dxfId="1336" priority="409" operator="equal">
      <formula>"IND"</formula>
    </cfRule>
    <cfRule type="cellIs" dxfId="1335" priority="410" operator="equal">
      <formula>"JAX"</formula>
    </cfRule>
    <cfRule type="cellIs" dxfId="1334" priority="411" operator="equal">
      <formula>"NYJ"</formula>
    </cfRule>
    <cfRule type="cellIs" dxfId="1333" priority="412" operator="equal">
      <formula>"SEA"</formula>
    </cfRule>
    <cfRule type="cellIs" dxfId="1332" priority="413" operator="equal">
      <formula>"NE"</formula>
    </cfRule>
    <cfRule type="cellIs" dxfId="1331" priority="414" operator="equal">
      <formula>"BUF"</formula>
    </cfRule>
    <cfRule type="cellIs" dxfId="1330" priority="415" operator="equal">
      <formula>"WAS"</formula>
    </cfRule>
    <cfRule type="cellIs" dxfId="1329" priority="416" operator="equal">
      <formula>"CLE"</formula>
    </cfRule>
    <cfRule type="cellIs" dxfId="1328" priority="417" operator="equal">
      <formula>"CIN"</formula>
    </cfRule>
    <cfRule type="cellIs" dxfId="1327" priority="418" operator="equal">
      <formula>"MIA"</formula>
    </cfRule>
  </conditionalFormatting>
  <conditionalFormatting sqref="C20:R20">
    <cfRule type="cellIs" dxfId="1326" priority="355" operator="equal">
      <formula>"PHI"</formula>
    </cfRule>
    <cfRule type="cellIs" dxfId="1325" priority="356" operator="equal">
      <formula>"GB"</formula>
    </cfRule>
    <cfRule type="cellIs" dxfId="1324" priority="357" operator="equal">
      <formula>"MIN"</formula>
    </cfRule>
    <cfRule type="cellIs" dxfId="1323" priority="358" operator="equal">
      <formula>"NYG"</formula>
    </cfRule>
    <cfRule type="cellIs" dxfId="1322" priority="359" operator="equal">
      <formula>"PIT"</formula>
    </cfRule>
    <cfRule type="cellIs" dxfId="1321" priority="360" operator="equal">
      <formula>"KC"</formula>
    </cfRule>
    <cfRule type="cellIs" dxfId="1320" priority="361" operator="equal">
      <formula>"ARI"</formula>
    </cfRule>
    <cfRule type="cellIs" dxfId="1319" priority="362" operator="equal">
      <formula>"LA"</formula>
    </cfRule>
    <cfRule type="cellIs" dxfId="1318" priority="363" operator="equal">
      <formula>"SD"</formula>
    </cfRule>
    <cfRule type="cellIs" dxfId="1317" priority="364" operator="equal">
      <formula>"NO"</formula>
    </cfRule>
    <cfRule type="cellIs" dxfId="1316" priority="365" operator="equal">
      <formula>"SF"</formula>
    </cfRule>
    <cfRule type="cellIs" dxfId="1315" priority="366" operator="equal">
      <formula>"DAL"</formula>
    </cfRule>
    <cfRule type="cellIs" dxfId="1314" priority="367" operator="equal">
      <formula>"TB"</formula>
    </cfRule>
    <cfRule type="cellIs" dxfId="1313" priority="368" operator="equal">
      <formula>"DEN"</formula>
    </cfRule>
    <cfRule type="cellIs" dxfId="1312" priority="369" operator="equal">
      <formula>"BAL"</formula>
    </cfRule>
    <cfRule type="cellIs" dxfId="1311" priority="370" operator="equal">
      <formula>"OAK"</formula>
    </cfRule>
    <cfRule type="cellIs" dxfId="1310" priority="371" operator="equal">
      <formula>"HOU"</formula>
    </cfRule>
    <cfRule type="cellIs" dxfId="1309" priority="372" operator="equal">
      <formula>"TEN"</formula>
    </cfRule>
    <cfRule type="cellIs" dxfId="1308" priority="373" operator="equal">
      <formula>"CHI"</formula>
    </cfRule>
    <cfRule type="cellIs" dxfId="1307" priority="374" operator="equal">
      <formula>"DET"</formula>
    </cfRule>
    <cfRule type="cellIs" dxfId="1306" priority="375" operator="equal">
      <formula>"ATL"</formula>
    </cfRule>
    <cfRule type="cellIs" dxfId="1305" priority="376" operator="equal">
      <formula>"CAR"</formula>
    </cfRule>
    <cfRule type="cellIs" dxfId="1304" priority="377" operator="equal">
      <formula>"IND"</formula>
    </cfRule>
    <cfRule type="cellIs" dxfId="1303" priority="378" operator="equal">
      <formula>"JAX"</formula>
    </cfRule>
    <cfRule type="cellIs" dxfId="1302" priority="379" operator="equal">
      <formula>"NYJ"</formula>
    </cfRule>
    <cfRule type="cellIs" dxfId="1301" priority="380" operator="equal">
      <formula>"SEA"</formula>
    </cfRule>
    <cfRule type="cellIs" dxfId="1300" priority="381" operator="equal">
      <formula>"NE"</formula>
    </cfRule>
    <cfRule type="cellIs" dxfId="1299" priority="382" operator="equal">
      <formula>"BUF"</formula>
    </cfRule>
    <cfRule type="cellIs" dxfId="1298" priority="383" operator="equal">
      <formula>"WAS"</formula>
    </cfRule>
    <cfRule type="cellIs" dxfId="1297" priority="384" operator="equal">
      <formula>"CLE"</formula>
    </cfRule>
    <cfRule type="cellIs" dxfId="1296" priority="385" operator="equal">
      <formula>"CIN"</formula>
    </cfRule>
    <cfRule type="cellIs" dxfId="1295" priority="386" operator="equal">
      <formula>"MIA"</formula>
    </cfRule>
  </conditionalFormatting>
  <conditionalFormatting sqref="Q6:R6 Q9:R19">
    <cfRule type="cellIs" dxfId="1294" priority="323" operator="equal">
      <formula>"PHI"</formula>
    </cfRule>
    <cfRule type="cellIs" dxfId="1293" priority="324" operator="equal">
      <formula>"GB"</formula>
    </cfRule>
    <cfRule type="cellIs" dxfId="1292" priority="325" operator="equal">
      <formula>"MIN"</formula>
    </cfRule>
    <cfRule type="cellIs" dxfId="1291" priority="326" operator="equal">
      <formula>"NYG"</formula>
    </cfRule>
    <cfRule type="cellIs" dxfId="1290" priority="327" operator="equal">
      <formula>"PIT"</formula>
    </cfRule>
    <cfRule type="cellIs" dxfId="1289" priority="328" operator="equal">
      <formula>"KC"</formula>
    </cfRule>
    <cfRule type="cellIs" dxfId="1288" priority="329" operator="equal">
      <formula>"ARI"</formula>
    </cfRule>
    <cfRule type="cellIs" dxfId="1287" priority="330" operator="equal">
      <formula>"LA"</formula>
    </cfRule>
    <cfRule type="cellIs" dxfId="1286" priority="331" operator="equal">
      <formula>"SD"</formula>
    </cfRule>
    <cfRule type="cellIs" dxfId="1285" priority="332" operator="equal">
      <formula>"NO"</formula>
    </cfRule>
    <cfRule type="cellIs" dxfId="1284" priority="333" operator="equal">
      <formula>"SF"</formula>
    </cfRule>
    <cfRule type="cellIs" dxfId="1283" priority="334" operator="equal">
      <formula>"DAL"</formula>
    </cfRule>
    <cfRule type="cellIs" dxfId="1282" priority="335" operator="equal">
      <formula>"TB"</formula>
    </cfRule>
    <cfRule type="cellIs" dxfId="1281" priority="336" operator="equal">
      <formula>"DEN"</formula>
    </cfRule>
    <cfRule type="cellIs" dxfId="1280" priority="337" operator="equal">
      <formula>"BAL"</formula>
    </cfRule>
    <cfRule type="cellIs" dxfId="1279" priority="338" operator="equal">
      <formula>"OAK"</formula>
    </cfRule>
    <cfRule type="cellIs" dxfId="1278" priority="339" operator="equal">
      <formula>"HOU"</formula>
    </cfRule>
    <cfRule type="cellIs" dxfId="1277" priority="340" operator="equal">
      <formula>"TEN"</formula>
    </cfRule>
    <cfRule type="cellIs" dxfId="1276" priority="341" operator="equal">
      <formula>"CHI"</formula>
    </cfRule>
    <cfRule type="cellIs" dxfId="1275" priority="342" operator="equal">
      <formula>"DET"</formula>
    </cfRule>
    <cfRule type="cellIs" dxfId="1274" priority="343" operator="equal">
      <formula>"ATL"</formula>
    </cfRule>
    <cfRule type="cellIs" dxfId="1273" priority="344" operator="equal">
      <formula>"CAR"</formula>
    </cfRule>
    <cfRule type="cellIs" dxfId="1272" priority="345" operator="equal">
      <formula>"IND"</formula>
    </cfRule>
    <cfRule type="cellIs" dxfId="1271" priority="346" operator="equal">
      <formula>"JAX"</formula>
    </cfRule>
    <cfRule type="cellIs" dxfId="1270" priority="347" operator="equal">
      <formula>"NYJ"</formula>
    </cfRule>
    <cfRule type="cellIs" dxfId="1269" priority="348" operator="equal">
      <formula>"SEA"</formula>
    </cfRule>
    <cfRule type="cellIs" dxfId="1268" priority="349" operator="equal">
      <formula>"NE"</formula>
    </cfRule>
    <cfRule type="cellIs" dxfId="1267" priority="350" operator="equal">
      <formula>"BUF"</formula>
    </cfRule>
    <cfRule type="cellIs" dxfId="1266" priority="351" operator="equal">
      <formula>"WAS"</formula>
    </cfRule>
    <cfRule type="cellIs" dxfId="1265" priority="352" operator="equal">
      <formula>"CLE"</formula>
    </cfRule>
    <cfRule type="cellIs" dxfId="1264" priority="353" operator="equal">
      <formula>"CIN"</formula>
    </cfRule>
    <cfRule type="cellIs" dxfId="1263" priority="354" operator="equal">
      <formula>"MIA"</formula>
    </cfRule>
  </conditionalFormatting>
  <conditionalFormatting sqref="B6:P6 B9:P19 B7:B8">
    <cfRule type="cellIs" dxfId="1262" priority="291" operator="equal">
      <formula>"PHI"</formula>
    </cfRule>
    <cfRule type="cellIs" dxfId="1261" priority="292" operator="equal">
      <formula>"GB"</formula>
    </cfRule>
    <cfRule type="cellIs" dxfId="1260" priority="293" operator="equal">
      <formula>"MIN"</formula>
    </cfRule>
    <cfRule type="cellIs" dxfId="1259" priority="294" operator="equal">
      <formula>"NYG"</formula>
    </cfRule>
    <cfRule type="cellIs" dxfId="1258" priority="295" operator="equal">
      <formula>"PIT"</formula>
    </cfRule>
    <cfRule type="cellIs" dxfId="1257" priority="296" operator="equal">
      <formula>"KC"</formula>
    </cfRule>
    <cfRule type="cellIs" dxfId="1256" priority="297" operator="equal">
      <formula>"ARI"</formula>
    </cfRule>
    <cfRule type="cellIs" dxfId="1255" priority="298" operator="equal">
      <formula>"LA"</formula>
    </cfRule>
    <cfRule type="cellIs" dxfId="1254" priority="299" operator="equal">
      <formula>"SD"</formula>
    </cfRule>
    <cfRule type="cellIs" dxfId="1253" priority="300" operator="equal">
      <formula>"NO"</formula>
    </cfRule>
    <cfRule type="cellIs" dxfId="1252" priority="301" operator="equal">
      <formula>"SF"</formula>
    </cfRule>
    <cfRule type="cellIs" dxfId="1251" priority="302" operator="equal">
      <formula>"DAL"</formula>
    </cfRule>
    <cfRule type="cellIs" dxfId="1250" priority="303" operator="equal">
      <formula>"TB"</formula>
    </cfRule>
    <cfRule type="cellIs" dxfId="1249" priority="304" operator="equal">
      <formula>"DEN"</formula>
    </cfRule>
    <cfRule type="cellIs" dxfId="1248" priority="305" operator="equal">
      <formula>"BAL"</formula>
    </cfRule>
    <cfRule type="cellIs" dxfId="1247" priority="306" operator="equal">
      <formula>"OAK"</formula>
    </cfRule>
    <cfRule type="cellIs" dxfId="1246" priority="307" operator="equal">
      <formula>"HOU"</formula>
    </cfRule>
    <cfRule type="cellIs" dxfId="1245" priority="308" operator="equal">
      <formula>"TEN"</formula>
    </cfRule>
    <cfRule type="cellIs" dxfId="1244" priority="309" operator="equal">
      <formula>"CHI"</formula>
    </cfRule>
    <cfRule type="cellIs" dxfId="1243" priority="310" operator="equal">
      <formula>"DET"</formula>
    </cfRule>
    <cfRule type="cellIs" dxfId="1242" priority="311" operator="equal">
      <formula>"ATL"</formula>
    </cfRule>
    <cfRule type="cellIs" dxfId="1241" priority="312" operator="equal">
      <formula>"CAR"</formula>
    </cfRule>
    <cfRule type="cellIs" dxfId="1240" priority="313" operator="equal">
      <formula>"IND"</formula>
    </cfRule>
    <cfRule type="cellIs" dxfId="1239" priority="314" operator="equal">
      <formula>"JAX"</formula>
    </cfRule>
    <cfRule type="cellIs" dxfId="1238" priority="315" operator="equal">
      <formula>"NYJ"</formula>
    </cfRule>
    <cfRule type="cellIs" dxfId="1237" priority="316" operator="equal">
      <formula>"SEA"</formula>
    </cfRule>
    <cfRule type="cellIs" dxfId="1236" priority="317" operator="equal">
      <formula>"NE"</formula>
    </cfRule>
    <cfRule type="cellIs" dxfId="1235" priority="318" operator="equal">
      <formula>"BUF"</formula>
    </cfRule>
    <cfRule type="cellIs" dxfId="1234" priority="319" operator="equal">
      <formula>"WAS"</formula>
    </cfRule>
    <cfRule type="cellIs" dxfId="1233" priority="320" operator="equal">
      <formula>"CLE"</formula>
    </cfRule>
    <cfRule type="cellIs" dxfId="1232" priority="321" operator="equal">
      <formula>"CIN"</formula>
    </cfRule>
    <cfRule type="cellIs" dxfId="1231" priority="322" operator="equal">
      <formula>"MIA"</formula>
    </cfRule>
  </conditionalFormatting>
  <conditionalFormatting sqref="Q25:R38">
    <cfRule type="cellIs" dxfId="1230" priority="161" operator="equal">
      <formula>"PHI"</formula>
    </cfRule>
    <cfRule type="cellIs" dxfId="1229" priority="162" operator="equal">
      <formula>"GB"</formula>
    </cfRule>
    <cfRule type="cellIs" dxfId="1228" priority="163" operator="equal">
      <formula>"MIN"</formula>
    </cfRule>
    <cfRule type="cellIs" dxfId="1227" priority="164" operator="equal">
      <formula>"NYG"</formula>
    </cfRule>
    <cfRule type="cellIs" dxfId="1226" priority="165" operator="equal">
      <formula>"PIT"</formula>
    </cfRule>
    <cfRule type="cellIs" dxfId="1225" priority="166" operator="equal">
      <formula>"KC"</formula>
    </cfRule>
    <cfRule type="cellIs" dxfId="1224" priority="167" operator="equal">
      <formula>"ARI"</formula>
    </cfRule>
    <cfRule type="cellIs" dxfId="1223" priority="168" operator="equal">
      <formula>"LA"</formula>
    </cfRule>
    <cfRule type="cellIs" dxfId="1222" priority="169" operator="equal">
      <formula>"SD"</formula>
    </cfRule>
    <cfRule type="cellIs" dxfId="1221" priority="170" operator="equal">
      <formula>"NO"</formula>
    </cfRule>
    <cfRule type="cellIs" dxfId="1220" priority="171" operator="equal">
      <formula>"SF"</formula>
    </cfRule>
    <cfRule type="cellIs" dxfId="1219" priority="172" operator="equal">
      <formula>"DAL"</formula>
    </cfRule>
    <cfRule type="cellIs" dxfId="1218" priority="173" operator="equal">
      <formula>"TB"</formula>
    </cfRule>
    <cfRule type="cellIs" dxfId="1217" priority="174" operator="equal">
      <formula>"DEN"</formula>
    </cfRule>
    <cfRule type="cellIs" dxfId="1216" priority="175" operator="equal">
      <formula>"BAL"</formula>
    </cfRule>
    <cfRule type="cellIs" dxfId="1215" priority="176" operator="equal">
      <formula>"OAK"</formula>
    </cfRule>
    <cfRule type="cellIs" dxfId="1214" priority="177" operator="equal">
      <formula>"HOU"</formula>
    </cfRule>
    <cfRule type="cellIs" dxfId="1213" priority="178" operator="equal">
      <formula>"TEN"</formula>
    </cfRule>
    <cfRule type="cellIs" dxfId="1212" priority="179" operator="equal">
      <formula>"CHI"</formula>
    </cfRule>
    <cfRule type="cellIs" dxfId="1211" priority="180" operator="equal">
      <formula>"DET"</formula>
    </cfRule>
    <cfRule type="cellIs" dxfId="1210" priority="181" operator="equal">
      <formula>"ATL"</formula>
    </cfRule>
    <cfRule type="cellIs" dxfId="1209" priority="182" operator="equal">
      <formula>"CAR"</formula>
    </cfRule>
    <cfRule type="cellIs" dxfId="1208" priority="183" operator="equal">
      <formula>"IND"</formula>
    </cfRule>
    <cfRule type="cellIs" dxfId="1207" priority="184" operator="equal">
      <formula>"JAX"</formula>
    </cfRule>
    <cfRule type="cellIs" dxfId="1206" priority="185" operator="equal">
      <formula>"NYJ"</formula>
    </cfRule>
    <cfRule type="cellIs" dxfId="1205" priority="186" operator="equal">
      <formula>"SEA"</formula>
    </cfRule>
    <cfRule type="cellIs" dxfId="1204" priority="187" operator="equal">
      <formula>"NE"</formula>
    </cfRule>
    <cfRule type="cellIs" dxfId="1203" priority="188" operator="equal">
      <formula>"BUF"</formula>
    </cfRule>
    <cfRule type="cellIs" dxfId="1202" priority="189" operator="equal">
      <formula>"WAS"</formula>
    </cfRule>
    <cfRule type="cellIs" dxfId="1201" priority="190" operator="equal">
      <formula>"CLE"</formula>
    </cfRule>
    <cfRule type="cellIs" dxfId="1200" priority="191" operator="equal">
      <formula>"CIN"</formula>
    </cfRule>
    <cfRule type="cellIs" dxfId="1199" priority="192" operator="equal">
      <formula>"MIA"</formula>
    </cfRule>
  </conditionalFormatting>
  <conditionalFormatting sqref="B37:B38">
    <cfRule type="cellIs" dxfId="1198" priority="194" operator="equal">
      <formula>"PHI"</formula>
    </cfRule>
    <cfRule type="cellIs" dxfId="1197" priority="195" operator="equal">
      <formula>"GB"</formula>
    </cfRule>
    <cfRule type="cellIs" dxfId="1196" priority="196" operator="equal">
      <formula>"MIN"</formula>
    </cfRule>
    <cfRule type="cellIs" dxfId="1195" priority="197" operator="equal">
      <formula>"NYG"</formula>
    </cfRule>
    <cfRule type="cellIs" dxfId="1194" priority="198" operator="equal">
      <formula>"PIT"</formula>
    </cfRule>
    <cfRule type="cellIs" dxfId="1193" priority="199" operator="equal">
      <formula>"KC"</formula>
    </cfRule>
    <cfRule type="cellIs" dxfId="1192" priority="200" operator="equal">
      <formula>"ARI"</formula>
    </cfRule>
    <cfRule type="cellIs" dxfId="1191" priority="201" operator="equal">
      <formula>"LA"</formula>
    </cfRule>
    <cfRule type="cellIs" dxfId="1190" priority="202" operator="equal">
      <formula>"SD"</formula>
    </cfRule>
    <cfRule type="cellIs" dxfId="1189" priority="203" operator="equal">
      <formula>"NO"</formula>
    </cfRule>
    <cfRule type="cellIs" dxfId="1188" priority="204" operator="equal">
      <formula>"SF"</formula>
    </cfRule>
    <cfRule type="cellIs" dxfId="1187" priority="205" operator="equal">
      <formula>"DAL"</formula>
    </cfRule>
    <cfRule type="cellIs" dxfId="1186" priority="206" operator="equal">
      <formula>"TB"</formula>
    </cfRule>
    <cfRule type="cellIs" dxfId="1185" priority="207" operator="equal">
      <formula>"DEN"</formula>
    </cfRule>
    <cfRule type="cellIs" dxfId="1184" priority="208" operator="equal">
      <formula>"BAL"</formula>
    </cfRule>
    <cfRule type="cellIs" dxfId="1183" priority="209" operator="equal">
      <formula>"OAK"</formula>
    </cfRule>
    <cfRule type="cellIs" dxfId="1182" priority="210" operator="equal">
      <formula>"HOU"</formula>
    </cfRule>
    <cfRule type="cellIs" dxfId="1181" priority="211" operator="equal">
      <formula>"TEN"</formula>
    </cfRule>
    <cfRule type="cellIs" dxfId="1180" priority="212" operator="equal">
      <formula>"CHI"</formula>
    </cfRule>
    <cfRule type="cellIs" dxfId="1179" priority="213" operator="equal">
      <formula>"DET"</formula>
    </cfRule>
    <cfRule type="cellIs" dxfId="1178" priority="214" operator="equal">
      <formula>"ATL"</formula>
    </cfRule>
    <cfRule type="cellIs" dxfId="1177" priority="215" operator="equal">
      <formula>"CAR"</formula>
    </cfRule>
    <cfRule type="cellIs" dxfId="1176" priority="216" operator="equal">
      <formula>"IND"</formula>
    </cfRule>
    <cfRule type="cellIs" dxfId="1175" priority="217" operator="equal">
      <formula>"JAX"</formula>
    </cfRule>
    <cfRule type="cellIs" dxfId="1174" priority="218" operator="equal">
      <formula>"NYJ"</formula>
    </cfRule>
    <cfRule type="cellIs" dxfId="1173" priority="219" operator="equal">
      <formula>"SEA"</formula>
    </cfRule>
    <cfRule type="cellIs" dxfId="1172" priority="220" operator="equal">
      <formula>"NE"</formula>
    </cfRule>
    <cfRule type="cellIs" dxfId="1171" priority="221" operator="equal">
      <formula>"BUF"</formula>
    </cfRule>
    <cfRule type="cellIs" dxfId="1170" priority="222" operator="equal">
      <formula>"WAS"</formula>
    </cfRule>
    <cfRule type="cellIs" dxfId="1169" priority="223" operator="equal">
      <formula>"CLE"</formula>
    </cfRule>
    <cfRule type="cellIs" dxfId="1168" priority="224" operator="equal">
      <formula>"CIN"</formula>
    </cfRule>
    <cfRule type="cellIs" dxfId="1167" priority="225" operator="equal">
      <formula>"MIA"</formula>
    </cfRule>
  </conditionalFormatting>
  <conditionalFormatting sqref="C25:P38">
    <cfRule type="cellIs" dxfId="1166" priority="258" operator="equal">
      <formula>"PHI"</formula>
    </cfRule>
    <cfRule type="cellIs" dxfId="1165" priority="259" operator="equal">
      <formula>"GB"</formula>
    </cfRule>
    <cfRule type="cellIs" dxfId="1164" priority="260" operator="equal">
      <formula>"MIN"</formula>
    </cfRule>
    <cfRule type="cellIs" dxfId="1163" priority="261" operator="equal">
      <formula>"NYG"</formula>
    </cfRule>
    <cfRule type="cellIs" dxfId="1162" priority="262" operator="equal">
      <formula>"PIT"</formula>
    </cfRule>
    <cfRule type="cellIs" dxfId="1161" priority="263" operator="equal">
      <formula>"KC"</formula>
    </cfRule>
    <cfRule type="cellIs" dxfId="1160" priority="264" operator="equal">
      <formula>"ARI"</formula>
    </cfRule>
    <cfRule type="cellIs" dxfId="1159" priority="265" operator="equal">
      <formula>"LA"</formula>
    </cfRule>
    <cfRule type="cellIs" dxfId="1158" priority="266" operator="equal">
      <formula>"SD"</formula>
    </cfRule>
    <cfRule type="cellIs" dxfId="1157" priority="267" operator="equal">
      <formula>"NO"</formula>
    </cfRule>
    <cfRule type="cellIs" dxfId="1156" priority="268" operator="equal">
      <formula>"SF"</formula>
    </cfRule>
    <cfRule type="cellIs" dxfId="1155" priority="269" operator="equal">
      <formula>"DAL"</formula>
    </cfRule>
    <cfRule type="cellIs" dxfId="1154" priority="270" operator="equal">
      <formula>"TB"</formula>
    </cfRule>
    <cfRule type="cellIs" dxfId="1153" priority="271" operator="equal">
      <formula>"DEN"</formula>
    </cfRule>
    <cfRule type="cellIs" dxfId="1152" priority="272" operator="equal">
      <formula>"BAL"</formula>
    </cfRule>
    <cfRule type="cellIs" dxfId="1151" priority="273" operator="equal">
      <formula>"OAK"</formula>
    </cfRule>
    <cfRule type="cellIs" dxfId="1150" priority="274" operator="equal">
      <formula>"HOU"</formula>
    </cfRule>
    <cfRule type="cellIs" dxfId="1149" priority="275" operator="equal">
      <formula>"TEN"</formula>
    </cfRule>
    <cfRule type="cellIs" dxfId="1148" priority="276" operator="equal">
      <formula>"CHI"</formula>
    </cfRule>
    <cfRule type="cellIs" dxfId="1147" priority="277" operator="equal">
      <formula>"DET"</formula>
    </cfRule>
    <cfRule type="cellIs" dxfId="1146" priority="278" operator="equal">
      <formula>"ATL"</formula>
    </cfRule>
    <cfRule type="cellIs" dxfId="1145" priority="279" operator="equal">
      <formula>"CAR"</formula>
    </cfRule>
    <cfRule type="cellIs" dxfId="1144" priority="280" operator="equal">
      <formula>"IND"</formula>
    </cfRule>
    <cfRule type="cellIs" dxfId="1143" priority="281" operator="equal">
      <formula>"JAX"</formula>
    </cfRule>
    <cfRule type="cellIs" dxfId="1142" priority="282" operator="equal">
      <formula>"NYJ"</formula>
    </cfRule>
    <cfRule type="cellIs" dxfId="1141" priority="283" operator="equal">
      <formula>"SEA"</formula>
    </cfRule>
    <cfRule type="cellIs" dxfId="1140" priority="284" operator="equal">
      <formula>"NE"</formula>
    </cfRule>
    <cfRule type="cellIs" dxfId="1139" priority="285" operator="equal">
      <formula>"BUF"</formula>
    </cfRule>
    <cfRule type="cellIs" dxfId="1138" priority="286" operator="equal">
      <formula>"WAS"</formula>
    </cfRule>
    <cfRule type="cellIs" dxfId="1137" priority="287" operator="equal">
      <formula>"CLE"</formula>
    </cfRule>
    <cfRule type="cellIs" dxfId="1136" priority="288" operator="equal">
      <formula>"CIN"</formula>
    </cfRule>
    <cfRule type="cellIs" dxfId="1135" priority="289" operator="equal">
      <formula>"MIA"</formula>
    </cfRule>
  </conditionalFormatting>
  <conditionalFormatting sqref="B25:B36">
    <cfRule type="cellIs" dxfId="1134" priority="226" operator="equal">
      <formula>"PHI"</formula>
    </cfRule>
    <cfRule type="cellIs" dxfId="1133" priority="227" operator="equal">
      <formula>"GB"</formula>
    </cfRule>
    <cfRule type="cellIs" dxfId="1132" priority="228" operator="equal">
      <formula>"MIN"</formula>
    </cfRule>
    <cfRule type="cellIs" dxfId="1131" priority="229" operator="equal">
      <formula>"NYG"</formula>
    </cfRule>
    <cfRule type="cellIs" dxfId="1130" priority="230" operator="equal">
      <formula>"PIT"</formula>
    </cfRule>
    <cfRule type="cellIs" dxfId="1129" priority="231" operator="equal">
      <formula>"KC"</formula>
    </cfRule>
    <cfRule type="cellIs" dxfId="1128" priority="232" operator="equal">
      <formula>"ARI"</formula>
    </cfRule>
    <cfRule type="cellIs" dxfId="1127" priority="233" operator="equal">
      <formula>"LA"</formula>
    </cfRule>
    <cfRule type="cellIs" dxfId="1126" priority="234" operator="equal">
      <formula>"SD"</formula>
    </cfRule>
    <cfRule type="cellIs" dxfId="1125" priority="235" operator="equal">
      <formula>"NO"</formula>
    </cfRule>
    <cfRule type="cellIs" dxfId="1124" priority="236" operator="equal">
      <formula>"SF"</formula>
    </cfRule>
    <cfRule type="cellIs" dxfId="1123" priority="237" operator="equal">
      <formula>"DAL"</formula>
    </cfRule>
    <cfRule type="cellIs" dxfId="1122" priority="238" operator="equal">
      <formula>"TB"</formula>
    </cfRule>
    <cfRule type="cellIs" dxfId="1121" priority="239" operator="equal">
      <formula>"DEN"</formula>
    </cfRule>
    <cfRule type="cellIs" dxfId="1120" priority="240" operator="equal">
      <formula>"BAL"</formula>
    </cfRule>
    <cfRule type="cellIs" dxfId="1119" priority="241" operator="equal">
      <formula>"OAK"</formula>
    </cfRule>
    <cfRule type="cellIs" dxfId="1118" priority="242" operator="equal">
      <formula>"HOU"</formula>
    </cfRule>
    <cfRule type="cellIs" dxfId="1117" priority="243" operator="equal">
      <formula>"TEN"</formula>
    </cfRule>
    <cfRule type="cellIs" dxfId="1116" priority="244" operator="equal">
      <formula>"CHI"</formula>
    </cfRule>
    <cfRule type="cellIs" dxfId="1115" priority="245" operator="equal">
      <formula>"DET"</formula>
    </cfRule>
    <cfRule type="cellIs" dxfId="1114" priority="246" operator="equal">
      <formula>"ATL"</formula>
    </cfRule>
    <cfRule type="cellIs" dxfId="1113" priority="247" operator="equal">
      <formula>"CAR"</formula>
    </cfRule>
    <cfRule type="cellIs" dxfId="1112" priority="248" operator="equal">
      <formula>"IND"</formula>
    </cfRule>
    <cfRule type="cellIs" dxfId="1111" priority="249" operator="equal">
      <formula>"JAX"</formula>
    </cfRule>
    <cfRule type="cellIs" dxfId="1110" priority="250" operator="equal">
      <formula>"NYJ"</formula>
    </cfRule>
    <cfRule type="cellIs" dxfId="1109" priority="251" operator="equal">
      <formula>"SEA"</formula>
    </cfRule>
    <cfRule type="cellIs" dxfId="1108" priority="252" operator="equal">
      <formula>"NE"</formula>
    </cfRule>
    <cfRule type="cellIs" dxfId="1107" priority="253" operator="equal">
      <formula>"BUF"</formula>
    </cfRule>
    <cfRule type="cellIs" dxfId="1106" priority="254" operator="equal">
      <formula>"WAS"</formula>
    </cfRule>
    <cfRule type="cellIs" dxfId="1105" priority="255" operator="equal">
      <formula>"CLE"</formula>
    </cfRule>
    <cfRule type="cellIs" dxfId="1104" priority="256" operator="equal">
      <formula>"CIN"</formula>
    </cfRule>
    <cfRule type="cellIs" dxfId="1103" priority="257" operator="equal">
      <formula>"MIA"</formula>
    </cfRule>
  </conditionalFormatting>
  <conditionalFormatting sqref="C25:P38">
    <cfRule type="colorScale" priority="290">
      <colorScale>
        <cfvo type="min"/>
        <cfvo type="max"/>
        <color rgb="FFFCFCFF"/>
        <color rgb="FF63BE7B"/>
      </colorScale>
    </cfRule>
  </conditionalFormatting>
  <conditionalFormatting sqref="Q25:R38">
    <cfRule type="colorScale" priority="193">
      <colorScale>
        <cfvo type="min"/>
        <cfvo type="max"/>
        <color rgb="FFFCFCFF"/>
        <color rgb="FF63BE7B"/>
      </colorScale>
    </cfRule>
  </conditionalFormatting>
  <conditionalFormatting sqref="S6:S19">
    <cfRule type="cellIs" dxfId="1102" priority="129" operator="equal">
      <formula>"PHI"</formula>
    </cfRule>
    <cfRule type="cellIs" dxfId="1101" priority="130" operator="equal">
      <formula>"GB"</formula>
    </cfRule>
    <cfRule type="cellIs" dxfId="1100" priority="131" operator="equal">
      <formula>"MIN"</formula>
    </cfRule>
    <cfRule type="cellIs" dxfId="1099" priority="132" operator="equal">
      <formula>"NYG"</formula>
    </cfRule>
    <cfRule type="cellIs" dxfId="1098" priority="133" operator="equal">
      <formula>"PIT"</formula>
    </cfRule>
    <cfRule type="cellIs" dxfId="1097" priority="134" operator="equal">
      <formula>"KC"</formula>
    </cfRule>
    <cfRule type="cellIs" dxfId="1096" priority="135" operator="equal">
      <formula>"ARI"</formula>
    </cfRule>
    <cfRule type="cellIs" dxfId="1095" priority="136" operator="equal">
      <formula>"LA"</formula>
    </cfRule>
    <cfRule type="cellIs" dxfId="1094" priority="137" operator="equal">
      <formula>"SD"</formula>
    </cfRule>
    <cfRule type="cellIs" dxfId="1093" priority="138" operator="equal">
      <formula>"NO"</formula>
    </cfRule>
    <cfRule type="cellIs" dxfId="1092" priority="139" operator="equal">
      <formula>"SF"</formula>
    </cfRule>
    <cfRule type="cellIs" dxfId="1091" priority="140" operator="equal">
      <formula>"DAL"</formula>
    </cfRule>
    <cfRule type="cellIs" dxfId="1090" priority="141" operator="equal">
      <formula>"TB"</formula>
    </cfRule>
    <cfRule type="cellIs" dxfId="1089" priority="142" operator="equal">
      <formula>"DEN"</formula>
    </cfRule>
    <cfRule type="cellIs" dxfId="1088" priority="143" operator="equal">
      <formula>"BAL"</formula>
    </cfRule>
    <cfRule type="cellIs" dxfId="1087" priority="144" operator="equal">
      <formula>"OAK"</formula>
    </cfRule>
    <cfRule type="cellIs" dxfId="1086" priority="145" operator="equal">
      <formula>"HOU"</formula>
    </cfRule>
    <cfRule type="cellIs" dxfId="1085" priority="146" operator="equal">
      <formula>"TEN"</formula>
    </cfRule>
    <cfRule type="cellIs" dxfId="1084" priority="147" operator="equal">
      <formula>"CHI"</formula>
    </cfRule>
    <cfRule type="cellIs" dxfId="1083" priority="148" operator="equal">
      <formula>"DET"</formula>
    </cfRule>
    <cfRule type="cellIs" dxfId="1082" priority="149" operator="equal">
      <formula>"ATL"</formula>
    </cfRule>
    <cfRule type="cellIs" dxfId="1081" priority="150" operator="equal">
      <formula>"CAR"</formula>
    </cfRule>
    <cfRule type="cellIs" dxfId="1080" priority="151" operator="equal">
      <formula>"IND"</formula>
    </cfRule>
    <cfRule type="cellIs" dxfId="1079" priority="152" operator="equal">
      <formula>"JAX"</formula>
    </cfRule>
    <cfRule type="cellIs" dxfId="1078" priority="153" operator="equal">
      <formula>"NYJ"</formula>
    </cfRule>
    <cfRule type="cellIs" dxfId="1077" priority="154" operator="equal">
      <formula>"SEA"</formula>
    </cfRule>
    <cfRule type="cellIs" dxfId="1076" priority="155" operator="equal">
      <formula>"NE"</formula>
    </cfRule>
    <cfRule type="cellIs" dxfId="1075" priority="156" operator="equal">
      <formula>"BUF"</formula>
    </cfRule>
    <cfRule type="cellIs" dxfId="1074" priority="157" operator="equal">
      <formula>"WAS"</formula>
    </cfRule>
    <cfRule type="cellIs" dxfId="1073" priority="158" operator="equal">
      <formula>"CLE"</formula>
    </cfRule>
    <cfRule type="cellIs" dxfId="1072" priority="159" operator="equal">
      <formula>"CIN"</formula>
    </cfRule>
    <cfRule type="cellIs" dxfId="1071" priority="160" operator="equal">
      <formula>"MIA"</formula>
    </cfRule>
  </conditionalFormatting>
  <conditionalFormatting sqref="Q7:R7">
    <cfRule type="cellIs" dxfId="1070" priority="97" operator="equal">
      <formula>"PHI"</formula>
    </cfRule>
    <cfRule type="cellIs" dxfId="1069" priority="98" operator="equal">
      <formula>"GB"</formula>
    </cfRule>
    <cfRule type="cellIs" dxfId="1068" priority="99" operator="equal">
      <formula>"MIN"</formula>
    </cfRule>
    <cfRule type="cellIs" dxfId="1067" priority="100" operator="equal">
      <formula>"NYG"</formula>
    </cfRule>
    <cfRule type="cellIs" dxfId="1066" priority="101" operator="equal">
      <formula>"PIT"</formula>
    </cfRule>
    <cfRule type="cellIs" dxfId="1065" priority="102" operator="equal">
      <formula>"KC"</formula>
    </cfRule>
    <cfRule type="cellIs" dxfId="1064" priority="103" operator="equal">
      <formula>"ARI"</formula>
    </cfRule>
    <cfRule type="cellIs" dxfId="1063" priority="104" operator="equal">
      <formula>"LA"</formula>
    </cfRule>
    <cfRule type="cellIs" dxfId="1062" priority="105" operator="equal">
      <formula>"SD"</formula>
    </cfRule>
    <cfRule type="cellIs" dxfId="1061" priority="106" operator="equal">
      <formula>"NO"</formula>
    </cfRule>
    <cfRule type="cellIs" dxfId="1060" priority="107" operator="equal">
      <formula>"SF"</formula>
    </cfRule>
    <cfRule type="cellIs" dxfId="1059" priority="108" operator="equal">
      <formula>"DAL"</formula>
    </cfRule>
    <cfRule type="cellIs" dxfId="1058" priority="109" operator="equal">
      <formula>"TB"</formula>
    </cfRule>
    <cfRule type="cellIs" dxfId="1057" priority="110" operator="equal">
      <formula>"DEN"</formula>
    </cfRule>
    <cfRule type="cellIs" dxfId="1056" priority="111" operator="equal">
      <formula>"BAL"</formula>
    </cfRule>
    <cfRule type="cellIs" dxfId="1055" priority="112" operator="equal">
      <formula>"OAK"</formula>
    </cfRule>
    <cfRule type="cellIs" dxfId="1054" priority="113" operator="equal">
      <formula>"HOU"</formula>
    </cfRule>
    <cfRule type="cellIs" dxfId="1053" priority="114" operator="equal">
      <formula>"TEN"</formula>
    </cfRule>
    <cfRule type="cellIs" dxfId="1052" priority="115" operator="equal">
      <formula>"CHI"</formula>
    </cfRule>
    <cfRule type="cellIs" dxfId="1051" priority="116" operator="equal">
      <formula>"DET"</formula>
    </cfRule>
    <cfRule type="cellIs" dxfId="1050" priority="117" operator="equal">
      <formula>"ATL"</formula>
    </cfRule>
    <cfRule type="cellIs" dxfId="1049" priority="118" operator="equal">
      <formula>"CAR"</formula>
    </cfRule>
    <cfRule type="cellIs" dxfId="1048" priority="119" operator="equal">
      <formula>"IND"</formula>
    </cfRule>
    <cfRule type="cellIs" dxfId="1047" priority="120" operator="equal">
      <formula>"JAX"</formula>
    </cfRule>
    <cfRule type="cellIs" dxfId="1046" priority="121" operator="equal">
      <formula>"NYJ"</formula>
    </cfRule>
    <cfRule type="cellIs" dxfId="1045" priority="122" operator="equal">
      <formula>"SEA"</formula>
    </cfRule>
    <cfRule type="cellIs" dxfId="1044" priority="123" operator="equal">
      <formula>"NE"</formula>
    </cfRule>
    <cfRule type="cellIs" dxfId="1043" priority="124" operator="equal">
      <formula>"BUF"</formula>
    </cfRule>
    <cfRule type="cellIs" dxfId="1042" priority="125" operator="equal">
      <formula>"WAS"</formula>
    </cfRule>
    <cfRule type="cellIs" dxfId="1041" priority="126" operator="equal">
      <formula>"CLE"</formula>
    </cfRule>
    <cfRule type="cellIs" dxfId="1040" priority="127" operator="equal">
      <formula>"CIN"</formula>
    </cfRule>
    <cfRule type="cellIs" dxfId="1039" priority="128" operator="equal">
      <formula>"MIA"</formula>
    </cfRule>
  </conditionalFormatting>
  <conditionalFormatting sqref="C7:P7">
    <cfRule type="cellIs" dxfId="1038" priority="65" operator="equal">
      <formula>"PHI"</formula>
    </cfRule>
    <cfRule type="cellIs" dxfId="1037" priority="66" operator="equal">
      <formula>"GB"</formula>
    </cfRule>
    <cfRule type="cellIs" dxfId="1036" priority="67" operator="equal">
      <formula>"MIN"</formula>
    </cfRule>
    <cfRule type="cellIs" dxfId="1035" priority="68" operator="equal">
      <formula>"NYG"</formula>
    </cfRule>
    <cfRule type="cellIs" dxfId="1034" priority="69" operator="equal">
      <formula>"PIT"</formula>
    </cfRule>
    <cfRule type="cellIs" dxfId="1033" priority="70" operator="equal">
      <formula>"KC"</formula>
    </cfRule>
    <cfRule type="cellIs" dxfId="1032" priority="71" operator="equal">
      <formula>"ARI"</formula>
    </cfRule>
    <cfRule type="cellIs" dxfId="1031" priority="72" operator="equal">
      <formula>"LA"</formula>
    </cfRule>
    <cfRule type="cellIs" dxfId="1030" priority="73" operator="equal">
      <formula>"SD"</formula>
    </cfRule>
    <cfRule type="cellIs" dxfId="1029" priority="74" operator="equal">
      <formula>"NO"</formula>
    </cfRule>
    <cfRule type="cellIs" dxfId="1028" priority="75" operator="equal">
      <formula>"SF"</formula>
    </cfRule>
    <cfRule type="cellIs" dxfId="1027" priority="76" operator="equal">
      <formula>"DAL"</formula>
    </cfRule>
    <cfRule type="cellIs" dxfId="1026" priority="77" operator="equal">
      <formula>"TB"</formula>
    </cfRule>
    <cfRule type="cellIs" dxfId="1025" priority="78" operator="equal">
      <formula>"DEN"</formula>
    </cfRule>
    <cfRule type="cellIs" dxfId="1024" priority="79" operator="equal">
      <formula>"BAL"</formula>
    </cfRule>
    <cfRule type="cellIs" dxfId="1023" priority="80" operator="equal">
      <formula>"OAK"</formula>
    </cfRule>
    <cfRule type="cellIs" dxfId="1022" priority="81" operator="equal">
      <formula>"HOU"</formula>
    </cfRule>
    <cfRule type="cellIs" dxfId="1021" priority="82" operator="equal">
      <formula>"TEN"</formula>
    </cfRule>
    <cfRule type="cellIs" dxfId="1020" priority="83" operator="equal">
      <formula>"CHI"</formula>
    </cfRule>
    <cfRule type="cellIs" dxfId="1019" priority="84" operator="equal">
      <formula>"DET"</formula>
    </cfRule>
    <cfRule type="cellIs" dxfId="1018" priority="85" operator="equal">
      <formula>"ATL"</formula>
    </cfRule>
    <cfRule type="cellIs" dxfId="1017" priority="86" operator="equal">
      <formula>"CAR"</formula>
    </cfRule>
    <cfRule type="cellIs" dxfId="1016" priority="87" operator="equal">
      <formula>"IND"</formula>
    </cfRule>
    <cfRule type="cellIs" dxfId="1015" priority="88" operator="equal">
      <formula>"JAX"</formula>
    </cfRule>
    <cfRule type="cellIs" dxfId="1014" priority="89" operator="equal">
      <formula>"NYJ"</formula>
    </cfRule>
    <cfRule type="cellIs" dxfId="1013" priority="90" operator="equal">
      <formula>"SEA"</formula>
    </cfRule>
    <cfRule type="cellIs" dxfId="1012" priority="91" operator="equal">
      <formula>"NE"</formula>
    </cfRule>
    <cfRule type="cellIs" dxfId="1011" priority="92" operator="equal">
      <formula>"BUF"</formula>
    </cfRule>
    <cfRule type="cellIs" dxfId="1010" priority="93" operator="equal">
      <formula>"WAS"</formula>
    </cfRule>
    <cfRule type="cellIs" dxfId="1009" priority="94" operator="equal">
      <formula>"CLE"</formula>
    </cfRule>
    <cfRule type="cellIs" dxfId="1008" priority="95" operator="equal">
      <formula>"CIN"</formula>
    </cfRule>
    <cfRule type="cellIs" dxfId="1007" priority="96" operator="equal">
      <formula>"MIA"</formula>
    </cfRule>
  </conditionalFormatting>
  <conditionalFormatting sqref="Q8:R8">
    <cfRule type="cellIs" dxfId="1006" priority="33" operator="equal">
      <formula>"PHI"</formula>
    </cfRule>
    <cfRule type="cellIs" dxfId="1005" priority="34" operator="equal">
      <formula>"GB"</formula>
    </cfRule>
    <cfRule type="cellIs" dxfId="1004" priority="35" operator="equal">
      <formula>"MIN"</formula>
    </cfRule>
    <cfRule type="cellIs" dxfId="1003" priority="36" operator="equal">
      <formula>"NYG"</formula>
    </cfRule>
    <cfRule type="cellIs" dxfId="1002" priority="37" operator="equal">
      <formula>"PIT"</formula>
    </cfRule>
    <cfRule type="cellIs" dxfId="1001" priority="38" operator="equal">
      <formula>"KC"</formula>
    </cfRule>
    <cfRule type="cellIs" dxfId="1000" priority="39" operator="equal">
      <formula>"ARI"</formula>
    </cfRule>
    <cfRule type="cellIs" dxfId="999" priority="40" operator="equal">
      <formula>"LA"</formula>
    </cfRule>
    <cfRule type="cellIs" dxfId="998" priority="41" operator="equal">
      <formula>"SD"</formula>
    </cfRule>
    <cfRule type="cellIs" dxfId="997" priority="42" operator="equal">
      <formula>"NO"</formula>
    </cfRule>
    <cfRule type="cellIs" dxfId="996" priority="43" operator="equal">
      <formula>"SF"</formula>
    </cfRule>
    <cfRule type="cellIs" dxfId="995" priority="44" operator="equal">
      <formula>"DAL"</formula>
    </cfRule>
    <cfRule type="cellIs" dxfId="994" priority="45" operator="equal">
      <formula>"TB"</formula>
    </cfRule>
    <cfRule type="cellIs" dxfId="993" priority="46" operator="equal">
      <formula>"DEN"</formula>
    </cfRule>
    <cfRule type="cellIs" dxfId="992" priority="47" operator="equal">
      <formula>"BAL"</formula>
    </cfRule>
    <cfRule type="cellIs" dxfId="991" priority="48" operator="equal">
      <formula>"OAK"</formula>
    </cfRule>
    <cfRule type="cellIs" dxfId="990" priority="49" operator="equal">
      <formula>"HOU"</formula>
    </cfRule>
    <cfRule type="cellIs" dxfId="989" priority="50" operator="equal">
      <formula>"TEN"</formula>
    </cfRule>
    <cfRule type="cellIs" dxfId="988" priority="51" operator="equal">
      <formula>"CHI"</formula>
    </cfRule>
    <cfRule type="cellIs" dxfId="987" priority="52" operator="equal">
      <formula>"DET"</formula>
    </cfRule>
    <cfRule type="cellIs" dxfId="986" priority="53" operator="equal">
      <formula>"ATL"</formula>
    </cfRule>
    <cfRule type="cellIs" dxfId="985" priority="54" operator="equal">
      <formula>"CAR"</formula>
    </cfRule>
    <cfRule type="cellIs" dxfId="984" priority="55" operator="equal">
      <formula>"IND"</formula>
    </cfRule>
    <cfRule type="cellIs" dxfId="983" priority="56" operator="equal">
      <formula>"JAX"</formula>
    </cfRule>
    <cfRule type="cellIs" dxfId="982" priority="57" operator="equal">
      <formula>"NYJ"</formula>
    </cfRule>
    <cfRule type="cellIs" dxfId="981" priority="58" operator="equal">
      <formula>"SEA"</formula>
    </cfRule>
    <cfRule type="cellIs" dxfId="980" priority="59" operator="equal">
      <formula>"NE"</formula>
    </cfRule>
    <cfRule type="cellIs" dxfId="979" priority="60" operator="equal">
      <formula>"BUF"</formula>
    </cfRule>
    <cfRule type="cellIs" dxfId="978" priority="61" operator="equal">
      <formula>"WAS"</formula>
    </cfRule>
    <cfRule type="cellIs" dxfId="977" priority="62" operator="equal">
      <formula>"CLE"</formula>
    </cfRule>
    <cfRule type="cellIs" dxfId="976" priority="63" operator="equal">
      <formula>"CIN"</formula>
    </cfRule>
    <cfRule type="cellIs" dxfId="975" priority="64" operator="equal">
      <formula>"MIA"</formula>
    </cfRule>
  </conditionalFormatting>
  <conditionalFormatting sqref="C8:P8">
    <cfRule type="cellIs" dxfId="974" priority="1" operator="equal">
      <formula>"PHI"</formula>
    </cfRule>
    <cfRule type="cellIs" dxfId="973" priority="2" operator="equal">
      <formula>"GB"</formula>
    </cfRule>
    <cfRule type="cellIs" dxfId="972" priority="3" operator="equal">
      <formula>"MIN"</formula>
    </cfRule>
    <cfRule type="cellIs" dxfId="971" priority="4" operator="equal">
      <formula>"NYG"</formula>
    </cfRule>
    <cfRule type="cellIs" dxfId="970" priority="5" operator="equal">
      <formula>"PIT"</formula>
    </cfRule>
    <cfRule type="cellIs" dxfId="969" priority="6" operator="equal">
      <formula>"KC"</formula>
    </cfRule>
    <cfRule type="cellIs" dxfId="968" priority="7" operator="equal">
      <formula>"ARI"</formula>
    </cfRule>
    <cfRule type="cellIs" dxfId="967" priority="8" operator="equal">
      <formula>"LA"</formula>
    </cfRule>
    <cfRule type="cellIs" dxfId="966" priority="9" operator="equal">
      <formula>"SD"</formula>
    </cfRule>
    <cfRule type="cellIs" dxfId="965" priority="10" operator="equal">
      <formula>"NO"</formula>
    </cfRule>
    <cfRule type="cellIs" dxfId="964" priority="11" operator="equal">
      <formula>"SF"</formula>
    </cfRule>
    <cfRule type="cellIs" dxfId="963" priority="12" operator="equal">
      <formula>"DAL"</formula>
    </cfRule>
    <cfRule type="cellIs" dxfId="962" priority="13" operator="equal">
      <formula>"TB"</formula>
    </cfRule>
    <cfRule type="cellIs" dxfId="961" priority="14" operator="equal">
      <formula>"DEN"</formula>
    </cfRule>
    <cfRule type="cellIs" dxfId="960" priority="15" operator="equal">
      <formula>"BAL"</formula>
    </cfRule>
    <cfRule type="cellIs" dxfId="959" priority="16" operator="equal">
      <formula>"OAK"</formula>
    </cfRule>
    <cfRule type="cellIs" dxfId="958" priority="17" operator="equal">
      <formula>"HOU"</formula>
    </cfRule>
    <cfRule type="cellIs" dxfId="957" priority="18" operator="equal">
      <formula>"TEN"</formula>
    </cfRule>
    <cfRule type="cellIs" dxfId="956" priority="19" operator="equal">
      <formula>"CHI"</formula>
    </cfRule>
    <cfRule type="cellIs" dxfId="955" priority="20" operator="equal">
      <formula>"DET"</formula>
    </cfRule>
    <cfRule type="cellIs" dxfId="954" priority="21" operator="equal">
      <formula>"ATL"</formula>
    </cfRule>
    <cfRule type="cellIs" dxfId="953" priority="22" operator="equal">
      <formula>"CAR"</formula>
    </cfRule>
    <cfRule type="cellIs" dxfId="952" priority="23" operator="equal">
      <formula>"IND"</formula>
    </cfRule>
    <cfRule type="cellIs" dxfId="951" priority="24" operator="equal">
      <formula>"JAX"</formula>
    </cfRule>
    <cfRule type="cellIs" dxfId="950" priority="25" operator="equal">
      <formula>"NYJ"</formula>
    </cfRule>
    <cfRule type="cellIs" dxfId="949" priority="26" operator="equal">
      <formula>"SEA"</formula>
    </cfRule>
    <cfRule type="cellIs" dxfId="948" priority="27" operator="equal">
      <formula>"NE"</formula>
    </cfRule>
    <cfRule type="cellIs" dxfId="947" priority="28" operator="equal">
      <formula>"BUF"</formula>
    </cfRule>
    <cfRule type="cellIs" dxfId="946" priority="29" operator="equal">
      <formula>"WAS"</formula>
    </cfRule>
    <cfRule type="cellIs" dxfId="945" priority="30" operator="equal">
      <formula>"CLE"</formula>
    </cfRule>
    <cfRule type="cellIs" dxfId="944" priority="31" operator="equal">
      <formula>"CIN"</formula>
    </cfRule>
    <cfRule type="cellIs" dxfId="943" priority="32" operator="equal">
      <formula>"MIA"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9"/>
  <sheetViews>
    <sheetView workbookViewId="0"/>
  </sheetViews>
  <sheetFormatPr defaultRowHeight="14.5" x14ac:dyDescent="0.35"/>
  <cols>
    <col min="1" max="1" width="5.08984375" style="41" customWidth="1"/>
    <col min="2" max="2" width="10.90625" style="41" bestFit="1" customWidth="1"/>
    <col min="3" max="3" width="9.08984375" style="41" customWidth="1"/>
    <col min="4" max="4" width="9" style="41" customWidth="1"/>
    <col min="5" max="5" width="9.36328125" style="41" customWidth="1"/>
    <col min="6" max="6" width="8.54296875" style="41" customWidth="1"/>
    <col min="7" max="7" width="7.81640625" style="41" customWidth="1"/>
    <col min="8" max="8" width="7.7265625" style="41" customWidth="1"/>
    <col min="9" max="9" width="7.36328125" style="41" customWidth="1"/>
    <col min="10" max="10" width="8.81640625" style="41" customWidth="1"/>
    <col min="11" max="11" width="9.453125" style="41" customWidth="1"/>
    <col min="12" max="12" width="9.36328125" style="41" customWidth="1"/>
    <col min="13" max="13" width="8.54296875" style="41" customWidth="1"/>
    <col min="14" max="14" width="6.453125" style="41" customWidth="1"/>
    <col min="15" max="15" width="9.453125" style="41" customWidth="1"/>
    <col min="16" max="17" width="8.36328125" style="41" customWidth="1"/>
    <col min="18" max="18" width="9.1796875" style="41" bestFit="1" customWidth="1"/>
    <col min="19" max="16384" width="8.7265625" style="41"/>
  </cols>
  <sheetData>
    <row r="1" spans="1:19" x14ac:dyDescent="0.35">
      <c r="A1" s="41" t="s">
        <v>371</v>
      </c>
    </row>
    <row r="3" spans="1:19" ht="15" thickBot="1" x14ac:dyDescent="0.4">
      <c r="D3" s="69"/>
    </row>
    <row r="4" spans="1:19" ht="15.5" customHeight="1" thickTop="1" thickBot="1" x14ac:dyDescent="0.4">
      <c r="B4" s="11" t="s">
        <v>0</v>
      </c>
      <c r="C4" s="41" t="s">
        <v>338</v>
      </c>
      <c r="D4" s="82" t="s">
        <v>339</v>
      </c>
      <c r="E4" s="82" t="s">
        <v>340</v>
      </c>
      <c r="F4" s="82" t="s">
        <v>341</v>
      </c>
      <c r="G4" s="82" t="s">
        <v>342</v>
      </c>
      <c r="H4" s="82" t="s">
        <v>343</v>
      </c>
      <c r="I4" s="82" t="s">
        <v>344</v>
      </c>
      <c r="J4" s="82" t="s">
        <v>345</v>
      </c>
      <c r="K4" s="82" t="s">
        <v>346</v>
      </c>
      <c r="L4" s="82" t="s">
        <v>347</v>
      </c>
      <c r="M4" s="52" t="s">
        <v>433</v>
      </c>
      <c r="N4" s="82" t="s">
        <v>352</v>
      </c>
      <c r="O4" s="82" t="s">
        <v>349</v>
      </c>
      <c r="P4" s="82" t="s">
        <v>350</v>
      </c>
      <c r="Q4" s="82" t="s">
        <v>351</v>
      </c>
      <c r="R4" t="s">
        <v>431</v>
      </c>
      <c r="S4" s="406" t="s">
        <v>92</v>
      </c>
    </row>
    <row r="5" spans="1:19" ht="15.5" thickTop="1" thickBot="1" x14ac:dyDescent="0.4">
      <c r="B5" s="26" t="s">
        <v>1</v>
      </c>
      <c r="C5" s="8" t="s">
        <v>19</v>
      </c>
      <c r="D5" s="8" t="s">
        <v>115</v>
      </c>
      <c r="E5" s="8" t="s">
        <v>23</v>
      </c>
      <c r="F5" s="8" t="s">
        <v>142</v>
      </c>
      <c r="G5" s="8" t="s">
        <v>432</v>
      </c>
      <c r="H5" s="8" t="s">
        <v>199</v>
      </c>
      <c r="I5" s="8" t="s">
        <v>20</v>
      </c>
      <c r="J5" s="8" t="s">
        <v>24</v>
      </c>
      <c r="K5" s="8" t="s">
        <v>115</v>
      </c>
      <c r="L5" s="8" t="s">
        <v>114</v>
      </c>
      <c r="M5" s="8" t="s">
        <v>428</v>
      </c>
      <c r="N5" s="8" t="s">
        <v>23</v>
      </c>
      <c r="O5" s="8" t="s">
        <v>392</v>
      </c>
      <c r="P5" s="8" t="s">
        <v>113</v>
      </c>
      <c r="Q5" s="8" t="s">
        <v>141</v>
      </c>
      <c r="R5" s="8" t="s">
        <v>142</v>
      </c>
      <c r="S5" s="407"/>
    </row>
    <row r="6" spans="1:19" ht="15" thickTop="1" x14ac:dyDescent="0.35">
      <c r="B6" s="187" t="s">
        <v>3</v>
      </c>
      <c r="C6" s="190" t="s">
        <v>68</v>
      </c>
      <c r="D6" s="190" t="s">
        <v>33</v>
      </c>
      <c r="E6" s="190" t="s">
        <v>65</v>
      </c>
      <c r="F6" s="190" t="s">
        <v>64</v>
      </c>
      <c r="G6" s="190" t="s">
        <v>89</v>
      </c>
      <c r="H6" s="190" t="s">
        <v>119</v>
      </c>
      <c r="I6" s="190" t="s">
        <v>73</v>
      </c>
      <c r="J6" s="190" t="s">
        <v>120</v>
      </c>
      <c r="K6" s="190" t="s">
        <v>71</v>
      </c>
      <c r="L6" s="190" t="s">
        <v>74</v>
      </c>
      <c r="M6" s="190" t="s">
        <v>67</v>
      </c>
      <c r="N6" s="190" t="s">
        <v>77</v>
      </c>
      <c r="O6" s="190" t="s">
        <v>62</v>
      </c>
      <c r="P6" s="190" t="s">
        <v>76</v>
      </c>
      <c r="Q6" s="190" t="s">
        <v>60</v>
      </c>
      <c r="R6" s="190" t="s">
        <v>90</v>
      </c>
      <c r="S6" s="196">
        <f>SUM(C25:R25)</f>
        <v>7</v>
      </c>
    </row>
    <row r="7" spans="1:19" x14ac:dyDescent="0.35">
      <c r="B7" s="187" t="s">
        <v>29</v>
      </c>
      <c r="C7" s="384" t="s">
        <v>434</v>
      </c>
      <c r="D7" s="384" t="s">
        <v>58</v>
      </c>
      <c r="E7" s="384" t="s">
        <v>65</v>
      </c>
      <c r="F7" s="384" t="s">
        <v>64</v>
      </c>
      <c r="G7" s="384" t="s">
        <v>89</v>
      </c>
      <c r="H7" s="384" t="s">
        <v>63</v>
      </c>
      <c r="I7" s="384" t="s">
        <v>73</v>
      </c>
      <c r="J7" s="384" t="s">
        <v>120</v>
      </c>
      <c r="K7" s="384" t="s">
        <v>71</v>
      </c>
      <c r="L7" s="384" t="s">
        <v>74</v>
      </c>
      <c r="M7" s="384" t="s">
        <v>67</v>
      </c>
      <c r="N7" s="384" t="s">
        <v>77</v>
      </c>
      <c r="O7" s="384" t="s">
        <v>62</v>
      </c>
      <c r="P7" s="384" t="s">
        <v>76</v>
      </c>
      <c r="Q7" s="384" t="s">
        <v>60</v>
      </c>
      <c r="R7" s="384" t="s">
        <v>90</v>
      </c>
      <c r="S7" s="197">
        <f t="shared" ref="S7:S19" si="0">SUM(C26:R26)</f>
        <v>9</v>
      </c>
    </row>
    <row r="8" spans="1:19" x14ac:dyDescent="0.35">
      <c r="B8" s="187" t="s">
        <v>30</v>
      </c>
      <c r="C8" s="366" t="s">
        <v>75</v>
      </c>
      <c r="D8" s="366" t="s">
        <v>58</v>
      </c>
      <c r="E8" s="366" t="s">
        <v>65</v>
      </c>
      <c r="F8" s="366" t="s">
        <v>64</v>
      </c>
      <c r="G8" s="366" t="s">
        <v>89</v>
      </c>
      <c r="H8" s="366" t="s">
        <v>119</v>
      </c>
      <c r="I8" s="366" t="s">
        <v>73</v>
      </c>
      <c r="J8" s="366" t="s">
        <v>120</v>
      </c>
      <c r="K8" s="366" t="s">
        <v>71</v>
      </c>
      <c r="L8" s="366" t="s">
        <v>74</v>
      </c>
      <c r="M8" s="366" t="s">
        <v>67</v>
      </c>
      <c r="N8" s="366" t="s">
        <v>77</v>
      </c>
      <c r="O8" s="366" t="s">
        <v>62</v>
      </c>
      <c r="P8" s="366" t="s">
        <v>76</v>
      </c>
      <c r="Q8" s="366" t="s">
        <v>60</v>
      </c>
      <c r="R8" s="366" t="s">
        <v>90</v>
      </c>
      <c r="S8" s="196">
        <f t="shared" si="0"/>
        <v>9</v>
      </c>
    </row>
    <row r="9" spans="1:19" x14ac:dyDescent="0.35">
      <c r="B9" s="187" t="s">
        <v>31</v>
      </c>
      <c r="C9" s="190" t="s">
        <v>166</v>
      </c>
      <c r="D9" s="190" t="s">
        <v>166</v>
      </c>
      <c r="E9" s="190" t="s">
        <v>166</v>
      </c>
      <c r="F9" s="190" t="s">
        <v>166</v>
      </c>
      <c r="G9" s="190" t="s">
        <v>166</v>
      </c>
      <c r="H9" s="190" t="s">
        <v>166</v>
      </c>
      <c r="I9" s="190" t="s">
        <v>166</v>
      </c>
      <c r="J9" s="190" t="s">
        <v>166</v>
      </c>
      <c r="K9" s="190" t="s">
        <v>166</v>
      </c>
      <c r="L9" s="190" t="s">
        <v>166</v>
      </c>
      <c r="M9" s="190" t="s">
        <v>166</v>
      </c>
      <c r="N9" s="190" t="s">
        <v>166</v>
      </c>
      <c r="O9" s="190" t="s">
        <v>166</v>
      </c>
      <c r="P9" s="190" t="s">
        <v>166</v>
      </c>
      <c r="Q9" s="190" t="s">
        <v>166</v>
      </c>
      <c r="R9" s="190" t="s">
        <v>166</v>
      </c>
      <c r="S9" s="197">
        <f t="shared" si="0"/>
        <v>0</v>
      </c>
    </row>
    <row r="10" spans="1:19" x14ac:dyDescent="0.35">
      <c r="B10" s="187" t="s">
        <v>32</v>
      </c>
      <c r="C10" s="384" t="s">
        <v>68</v>
      </c>
      <c r="D10" s="384" t="s">
        <v>58</v>
      </c>
      <c r="E10" s="384" t="s">
        <v>65</v>
      </c>
      <c r="F10" s="384" t="s">
        <v>64</v>
      </c>
      <c r="G10" s="384" t="s">
        <v>89</v>
      </c>
      <c r="H10" s="384" t="s">
        <v>119</v>
      </c>
      <c r="I10" s="384" t="s">
        <v>73</v>
      </c>
      <c r="J10" s="384" t="s">
        <v>120</v>
      </c>
      <c r="K10" s="384" t="s">
        <v>71</v>
      </c>
      <c r="L10" s="384" t="s">
        <v>74</v>
      </c>
      <c r="M10" s="384" t="s">
        <v>67</v>
      </c>
      <c r="N10" s="384" t="s">
        <v>77</v>
      </c>
      <c r="O10" s="384" t="s">
        <v>66</v>
      </c>
      <c r="P10" s="384" t="s">
        <v>76</v>
      </c>
      <c r="Q10" s="384" t="s">
        <v>60</v>
      </c>
      <c r="R10" s="384" t="s">
        <v>90</v>
      </c>
      <c r="S10" s="196">
        <f t="shared" si="0"/>
        <v>9</v>
      </c>
    </row>
    <row r="11" spans="1:19" x14ac:dyDescent="0.35">
      <c r="B11" s="187" t="s">
        <v>35</v>
      </c>
      <c r="C11" s="384" t="s">
        <v>68</v>
      </c>
      <c r="D11" s="384" t="s">
        <v>58</v>
      </c>
      <c r="E11" s="384" t="s">
        <v>65</v>
      </c>
      <c r="F11" s="384" t="s">
        <v>64</v>
      </c>
      <c r="G11" s="384" t="s">
        <v>89</v>
      </c>
      <c r="H11" s="384" t="s">
        <v>119</v>
      </c>
      <c r="I11" s="384" t="s">
        <v>73</v>
      </c>
      <c r="J11" s="384" t="s">
        <v>120</v>
      </c>
      <c r="K11" s="384" t="s">
        <v>71</v>
      </c>
      <c r="L11" s="384" t="s">
        <v>74</v>
      </c>
      <c r="M11" s="384" t="s">
        <v>67</v>
      </c>
      <c r="N11" s="384" t="s">
        <v>77</v>
      </c>
      <c r="O11" s="384" t="s">
        <v>62</v>
      </c>
      <c r="P11" s="384" t="s">
        <v>76</v>
      </c>
      <c r="Q11" s="384" t="s">
        <v>60</v>
      </c>
      <c r="R11" s="384" t="s">
        <v>90</v>
      </c>
      <c r="S11" s="197">
        <f t="shared" si="0"/>
        <v>8</v>
      </c>
    </row>
    <row r="12" spans="1:19" x14ac:dyDescent="0.35">
      <c r="B12" s="188" t="s">
        <v>36</v>
      </c>
      <c r="C12" s="384" t="s">
        <v>68</v>
      </c>
      <c r="D12" s="384" t="s">
        <v>58</v>
      </c>
      <c r="E12" s="384" t="s">
        <v>65</v>
      </c>
      <c r="F12" s="384" t="s">
        <v>64</v>
      </c>
      <c r="G12" s="384" t="s">
        <v>89</v>
      </c>
      <c r="H12" s="384" t="s">
        <v>119</v>
      </c>
      <c r="I12" s="384" t="s">
        <v>73</v>
      </c>
      <c r="J12" s="384" t="s">
        <v>120</v>
      </c>
      <c r="K12" s="384" t="s">
        <v>71</v>
      </c>
      <c r="L12" s="384" t="s">
        <v>74</v>
      </c>
      <c r="M12" s="384" t="s">
        <v>67</v>
      </c>
      <c r="N12" s="384" t="s">
        <v>77</v>
      </c>
      <c r="O12" s="384" t="s">
        <v>66</v>
      </c>
      <c r="P12" s="384" t="s">
        <v>76</v>
      </c>
      <c r="Q12" s="384" t="s">
        <v>60</v>
      </c>
      <c r="R12" s="384" t="s">
        <v>90</v>
      </c>
      <c r="S12" s="196">
        <f t="shared" si="0"/>
        <v>9</v>
      </c>
    </row>
    <row r="13" spans="1:19" x14ac:dyDescent="0.35">
      <c r="B13" s="188" t="s">
        <v>37</v>
      </c>
      <c r="C13" s="190" t="s">
        <v>166</v>
      </c>
      <c r="D13" s="190" t="s">
        <v>166</v>
      </c>
      <c r="E13" s="190" t="s">
        <v>166</v>
      </c>
      <c r="F13" s="190" t="s">
        <v>166</v>
      </c>
      <c r="G13" s="190" t="s">
        <v>166</v>
      </c>
      <c r="H13" s="190" t="s">
        <v>166</v>
      </c>
      <c r="I13" s="190" t="s">
        <v>166</v>
      </c>
      <c r="J13" s="190" t="s">
        <v>166</v>
      </c>
      <c r="K13" s="190" t="s">
        <v>166</v>
      </c>
      <c r="L13" s="190" t="s">
        <v>166</v>
      </c>
      <c r="M13" s="190" t="s">
        <v>166</v>
      </c>
      <c r="N13" s="190" t="s">
        <v>166</v>
      </c>
      <c r="O13" s="190" t="s">
        <v>166</v>
      </c>
      <c r="P13" s="190" t="s">
        <v>166</v>
      </c>
      <c r="Q13" s="190" t="s">
        <v>166</v>
      </c>
      <c r="R13" s="190" t="s">
        <v>166</v>
      </c>
      <c r="S13" s="197">
        <f t="shared" si="0"/>
        <v>0</v>
      </c>
    </row>
    <row r="14" spans="1:19" x14ac:dyDescent="0.35">
      <c r="B14" s="188" t="s">
        <v>57</v>
      </c>
      <c r="C14" s="384" t="s">
        <v>166</v>
      </c>
      <c r="D14" s="384" t="s">
        <v>33</v>
      </c>
      <c r="E14" s="384" t="s">
        <v>65</v>
      </c>
      <c r="F14" s="384" t="s">
        <v>64</v>
      </c>
      <c r="G14" s="384" t="s">
        <v>89</v>
      </c>
      <c r="H14" s="384" t="s">
        <v>119</v>
      </c>
      <c r="I14" s="384" t="s">
        <v>73</v>
      </c>
      <c r="J14" s="384" t="s">
        <v>120</v>
      </c>
      <c r="K14" s="384" t="s">
        <v>71</v>
      </c>
      <c r="L14" s="384" t="s">
        <v>74</v>
      </c>
      <c r="M14" s="384" t="s">
        <v>67</v>
      </c>
      <c r="N14" s="384" t="s">
        <v>77</v>
      </c>
      <c r="O14" s="384" t="s">
        <v>66</v>
      </c>
      <c r="P14" s="384" t="s">
        <v>91</v>
      </c>
      <c r="Q14" s="384" t="s">
        <v>60</v>
      </c>
      <c r="R14" s="384" t="s">
        <v>90</v>
      </c>
      <c r="S14" s="196">
        <f t="shared" si="0"/>
        <v>7</v>
      </c>
    </row>
    <row r="15" spans="1:19" s="185" customFormat="1" x14ac:dyDescent="0.35">
      <c r="B15" s="188" t="s">
        <v>379</v>
      </c>
      <c r="C15" s="190" t="s">
        <v>75</v>
      </c>
      <c r="D15" s="190" t="s">
        <v>58</v>
      </c>
      <c r="E15" s="190" t="s">
        <v>65</v>
      </c>
      <c r="F15" s="190" t="s">
        <v>64</v>
      </c>
      <c r="G15" s="190" t="s">
        <v>89</v>
      </c>
      <c r="H15" s="190" t="s">
        <v>119</v>
      </c>
      <c r="I15" s="190" t="s">
        <v>61</v>
      </c>
      <c r="J15" s="190" t="s">
        <v>120</v>
      </c>
      <c r="K15" s="190" t="s">
        <v>71</v>
      </c>
      <c r="L15" s="190" t="s">
        <v>74</v>
      </c>
      <c r="M15" s="190" t="s">
        <v>67</v>
      </c>
      <c r="N15" s="190" t="s">
        <v>72</v>
      </c>
      <c r="O15" s="190" t="s">
        <v>62</v>
      </c>
      <c r="P15" s="190" t="s">
        <v>76</v>
      </c>
      <c r="Q15" s="190" t="s">
        <v>60</v>
      </c>
      <c r="R15" s="190" t="s">
        <v>90</v>
      </c>
      <c r="S15" s="197">
        <f t="shared" si="0"/>
        <v>11</v>
      </c>
    </row>
    <row r="16" spans="1:19" s="185" customFormat="1" x14ac:dyDescent="0.35">
      <c r="B16" s="188" t="s">
        <v>380</v>
      </c>
      <c r="C16" s="190" t="s">
        <v>75</v>
      </c>
      <c r="D16" s="190" t="s">
        <v>58</v>
      </c>
      <c r="E16" s="190" t="s">
        <v>65</v>
      </c>
      <c r="F16" s="190" t="s">
        <v>64</v>
      </c>
      <c r="G16" s="190" t="s">
        <v>89</v>
      </c>
      <c r="H16" s="190" t="s">
        <v>119</v>
      </c>
      <c r="I16" s="190" t="s">
        <v>73</v>
      </c>
      <c r="J16" s="190" t="s">
        <v>120</v>
      </c>
      <c r="K16" s="190" t="s">
        <v>71</v>
      </c>
      <c r="L16" s="190" t="s">
        <v>74</v>
      </c>
      <c r="M16" s="190" t="s">
        <v>67</v>
      </c>
      <c r="N16" s="190" t="s">
        <v>72</v>
      </c>
      <c r="O16" s="190" t="s">
        <v>66</v>
      </c>
      <c r="P16" s="190" t="s">
        <v>76</v>
      </c>
      <c r="Q16" s="190" t="s">
        <v>60</v>
      </c>
      <c r="R16" s="190" t="s">
        <v>90</v>
      </c>
      <c r="S16" s="196">
        <f t="shared" si="0"/>
        <v>11</v>
      </c>
    </row>
    <row r="17" spans="2:19" s="185" customFormat="1" x14ac:dyDescent="0.35">
      <c r="B17" s="188" t="s">
        <v>381</v>
      </c>
      <c r="C17" s="190" t="s">
        <v>75</v>
      </c>
      <c r="D17" s="190" t="s">
        <v>33</v>
      </c>
      <c r="E17" s="190" t="s">
        <v>65</v>
      </c>
      <c r="F17" s="190" t="s">
        <v>64</v>
      </c>
      <c r="G17" s="190" t="s">
        <v>89</v>
      </c>
      <c r="H17" s="190" t="s">
        <v>119</v>
      </c>
      <c r="I17" s="190" t="s">
        <v>61</v>
      </c>
      <c r="J17" s="190" t="s">
        <v>120</v>
      </c>
      <c r="K17" s="190" t="s">
        <v>71</v>
      </c>
      <c r="L17" s="190" t="s">
        <v>74</v>
      </c>
      <c r="M17" s="190" t="s">
        <v>67</v>
      </c>
      <c r="N17" s="190" t="s">
        <v>77</v>
      </c>
      <c r="O17" s="190" t="s">
        <v>66</v>
      </c>
      <c r="P17" s="190" t="s">
        <v>76</v>
      </c>
      <c r="Q17" s="190" t="s">
        <v>60</v>
      </c>
      <c r="R17" s="190" t="s">
        <v>90</v>
      </c>
      <c r="S17" s="197">
        <f t="shared" si="0"/>
        <v>10</v>
      </c>
    </row>
    <row r="18" spans="2:19" s="185" customFormat="1" x14ac:dyDescent="0.35">
      <c r="B18" s="188" t="s">
        <v>387</v>
      </c>
      <c r="C18" s="384" t="s">
        <v>68</v>
      </c>
      <c r="D18" s="384" t="s">
        <v>58</v>
      </c>
      <c r="E18" s="384" t="s">
        <v>65</v>
      </c>
      <c r="F18" s="384" t="s">
        <v>64</v>
      </c>
      <c r="G18" s="384" t="s">
        <v>89</v>
      </c>
      <c r="H18" s="384" t="s">
        <v>119</v>
      </c>
      <c r="I18" s="384" t="s">
        <v>73</v>
      </c>
      <c r="J18" s="384" t="s">
        <v>120</v>
      </c>
      <c r="K18" s="384" t="s">
        <v>71</v>
      </c>
      <c r="L18" s="384" t="s">
        <v>74</v>
      </c>
      <c r="M18" s="384" t="s">
        <v>67</v>
      </c>
      <c r="N18" s="384" t="s">
        <v>77</v>
      </c>
      <c r="O18" s="384" t="s">
        <v>66</v>
      </c>
      <c r="P18" s="384" t="s">
        <v>76</v>
      </c>
      <c r="Q18" s="384" t="s">
        <v>60</v>
      </c>
      <c r="R18" s="384" t="s">
        <v>90</v>
      </c>
      <c r="S18" s="196">
        <f t="shared" si="0"/>
        <v>9</v>
      </c>
    </row>
    <row r="19" spans="2:19" s="185" customFormat="1" ht="15" thickBot="1" x14ac:dyDescent="0.4">
      <c r="B19" s="200" t="s">
        <v>389</v>
      </c>
      <c r="C19" s="366" t="s">
        <v>68</v>
      </c>
      <c r="D19" s="366" t="s">
        <v>58</v>
      </c>
      <c r="E19" s="366" t="s">
        <v>65</v>
      </c>
      <c r="F19" s="366" t="s">
        <v>64</v>
      </c>
      <c r="G19" s="366" t="s">
        <v>89</v>
      </c>
      <c r="H19" s="366" t="s">
        <v>119</v>
      </c>
      <c r="I19" s="366" t="s">
        <v>61</v>
      </c>
      <c r="J19" s="366" t="s">
        <v>120</v>
      </c>
      <c r="K19" s="366" t="s">
        <v>88</v>
      </c>
      <c r="L19" s="366" t="s">
        <v>74</v>
      </c>
      <c r="M19" s="366" t="s">
        <v>67</v>
      </c>
      <c r="N19" s="366" t="s">
        <v>77</v>
      </c>
      <c r="O19" s="366" t="s">
        <v>66</v>
      </c>
      <c r="P19" s="366" t="s">
        <v>76</v>
      </c>
      <c r="Q19" s="366" t="s">
        <v>60</v>
      </c>
      <c r="R19" s="366" t="s">
        <v>90</v>
      </c>
      <c r="S19" s="204">
        <f t="shared" si="0"/>
        <v>9</v>
      </c>
    </row>
    <row r="20" spans="2:19" ht="15.5" thickTop="1" thickBot="1" x14ac:dyDescent="0.4">
      <c r="B20" s="78" t="s">
        <v>183</v>
      </c>
      <c r="C20" s="60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02"/>
    </row>
    <row r="21" spans="2:19" ht="15" thickTop="1" x14ac:dyDescent="0.35"/>
    <row r="22" spans="2:19" ht="15" thickBot="1" x14ac:dyDescent="0.4"/>
    <row r="23" spans="2:19" ht="15.5" thickTop="1" thickBot="1" x14ac:dyDescent="0.4">
      <c r="B23" s="54" t="s">
        <v>0</v>
      </c>
      <c r="C23" s="86" t="s">
        <v>338</v>
      </c>
      <c r="D23" s="90" t="s">
        <v>339</v>
      </c>
      <c r="E23" s="90" t="s">
        <v>340</v>
      </c>
      <c r="F23" s="90" t="s">
        <v>341</v>
      </c>
      <c r="G23" s="90" t="s">
        <v>342</v>
      </c>
      <c r="H23" s="90" t="s">
        <v>343</v>
      </c>
      <c r="I23" s="90" t="s">
        <v>344</v>
      </c>
      <c r="J23" s="90" t="s">
        <v>345</v>
      </c>
      <c r="K23" s="90" t="s">
        <v>346</v>
      </c>
      <c r="L23" s="90" t="s">
        <v>347</v>
      </c>
      <c r="M23" s="90" t="s">
        <v>433</v>
      </c>
      <c r="N23" s="90" t="s">
        <v>352</v>
      </c>
      <c r="O23" s="90" t="s">
        <v>349</v>
      </c>
      <c r="P23" s="90" t="s">
        <v>350</v>
      </c>
      <c r="Q23" s="90" t="s">
        <v>351</v>
      </c>
      <c r="R23" s="365" t="s">
        <v>431</v>
      </c>
    </row>
    <row r="24" spans="2:19" ht="15.5" thickTop="1" thickBot="1" x14ac:dyDescent="0.4">
      <c r="B24" s="49" t="s">
        <v>1</v>
      </c>
      <c r="C24" s="84" t="s">
        <v>111</v>
      </c>
      <c r="D24" s="84" t="s">
        <v>115</v>
      </c>
      <c r="E24" s="84" t="s">
        <v>23</v>
      </c>
      <c r="F24" s="84" t="s">
        <v>142</v>
      </c>
      <c r="G24" s="84" t="s">
        <v>432</v>
      </c>
      <c r="H24" s="84" t="s">
        <v>199</v>
      </c>
      <c r="I24" s="84" t="s">
        <v>20</v>
      </c>
      <c r="J24" s="84" t="s">
        <v>24</v>
      </c>
      <c r="K24" s="84" t="s">
        <v>115</v>
      </c>
      <c r="L24" s="84" t="s">
        <v>114</v>
      </c>
      <c r="M24" s="84" t="s">
        <v>428</v>
      </c>
      <c r="N24" s="84" t="s">
        <v>23</v>
      </c>
      <c r="O24" s="84" t="s">
        <v>392</v>
      </c>
      <c r="P24" s="84" t="s">
        <v>113</v>
      </c>
      <c r="Q24" s="84" t="s">
        <v>141</v>
      </c>
      <c r="R24" s="51" t="s">
        <v>142</v>
      </c>
    </row>
    <row r="25" spans="2:19" ht="15" thickTop="1" x14ac:dyDescent="0.35">
      <c r="B25" s="176" t="s">
        <v>3</v>
      </c>
      <c r="C25" s="199" t="str">
        <f>IF(C6="phi",1,"-")</f>
        <v>-</v>
      </c>
      <c r="D25" s="202" t="str">
        <f>IF(D6="atl",1,"-")</f>
        <v>-</v>
      </c>
      <c r="E25" s="202" t="str">
        <f>IF(E6="mia",1,"-")</f>
        <v>-</v>
      </c>
      <c r="F25" s="202">
        <f>IF(F6="gb",1,"-")</f>
        <v>1</v>
      </c>
      <c r="G25" s="202">
        <f>IF(G6="ne",1,"-")</f>
        <v>1</v>
      </c>
      <c r="H25" s="202" t="str">
        <f>IF(H6="cle",1,"-")</f>
        <v>-</v>
      </c>
      <c r="I25" s="202" t="str">
        <f>IF(I6="no",1,"-")</f>
        <v>-</v>
      </c>
      <c r="J25" s="202" t="str">
        <f>IF(J6="jax",1,"-")</f>
        <v>-</v>
      </c>
      <c r="K25" s="202">
        <f>IF(K6="was",1,"-")</f>
        <v>1</v>
      </c>
      <c r="L25" s="202">
        <f>IF(L6="oak",1,"-")</f>
        <v>1</v>
      </c>
      <c r="M25" s="202" t="str">
        <f>IF(M6="ari",1,"-")</f>
        <v>-</v>
      </c>
      <c r="N25" s="202" t="str">
        <f>IF(N6="sf",1,"-")</f>
        <v>-</v>
      </c>
      <c r="O25" s="202" t="str">
        <f>IF(O6="hou",1,"-")</f>
        <v>-</v>
      </c>
      <c r="P25" s="202">
        <f>IF(P6="pit",1,"-")</f>
        <v>1</v>
      </c>
      <c r="Q25" s="202">
        <f>IF(Q6="kc",1,"-")</f>
        <v>1</v>
      </c>
      <c r="R25" s="203">
        <f>IF(R6="dal",1,"-")</f>
        <v>1</v>
      </c>
    </row>
    <row r="26" spans="2:19" x14ac:dyDescent="0.35">
      <c r="B26" s="197" t="s">
        <v>29</v>
      </c>
      <c r="C26" s="180" t="str">
        <f t="shared" ref="C26:C38" si="1">IF(C7="phi",1,"-")</f>
        <v>-</v>
      </c>
      <c r="D26" s="180">
        <f t="shared" ref="D26:D38" si="2">IF(D7="atl",1,"-")</f>
        <v>1</v>
      </c>
      <c r="E26" s="180" t="str">
        <f t="shared" ref="E26:E38" si="3">IF(E7="mia",1,"-")</f>
        <v>-</v>
      </c>
      <c r="F26" s="180">
        <f t="shared" ref="F26:F38" si="4">IF(F7="gb",1,"-")</f>
        <v>1</v>
      </c>
      <c r="G26" s="180">
        <f t="shared" ref="G26:G38" si="5">IF(G7="ne",1,"-")</f>
        <v>1</v>
      </c>
      <c r="H26" s="180">
        <f t="shared" ref="H26:H38" si="6">IF(H7="cle",1,"-")</f>
        <v>1</v>
      </c>
      <c r="I26" s="180" t="str">
        <f t="shared" ref="I26:I38" si="7">IF(I7="no",1,"-")</f>
        <v>-</v>
      </c>
      <c r="J26" s="180" t="str">
        <f t="shared" ref="J26:J38" si="8">IF(J7="jax",1,"-")</f>
        <v>-</v>
      </c>
      <c r="K26" s="180">
        <f t="shared" ref="K26:K38" si="9">IF(K7="was",1,"-")</f>
        <v>1</v>
      </c>
      <c r="L26" s="180">
        <f t="shared" ref="L26:L38" si="10">IF(L7="oak",1,"-")</f>
        <v>1</v>
      </c>
      <c r="M26" s="180" t="str">
        <f t="shared" ref="M26:M38" si="11">IF(M7="ari",1,"-")</f>
        <v>-</v>
      </c>
      <c r="N26" s="180" t="str">
        <f t="shared" ref="N26:N38" si="12">IF(N7="sf",1,"-")</f>
        <v>-</v>
      </c>
      <c r="O26" s="180" t="str">
        <f t="shared" ref="O26:O38" si="13">IF(O7="hou",1,"-")</f>
        <v>-</v>
      </c>
      <c r="P26" s="180">
        <f t="shared" ref="P26:P38" si="14">IF(P7="pit",1,"-")</f>
        <v>1</v>
      </c>
      <c r="Q26" s="180">
        <f t="shared" ref="Q26:Q38" si="15">IF(Q7="kc",1,"-")</f>
        <v>1</v>
      </c>
      <c r="R26" s="208">
        <f t="shared" ref="R26:R38" si="16">IF(R7="dal",1,"-")</f>
        <v>1</v>
      </c>
    </row>
    <row r="27" spans="2:19" x14ac:dyDescent="0.35">
      <c r="B27" s="196" t="s">
        <v>30</v>
      </c>
      <c r="C27" s="199">
        <f t="shared" si="1"/>
        <v>1</v>
      </c>
      <c r="D27" s="199">
        <f t="shared" si="2"/>
        <v>1</v>
      </c>
      <c r="E27" s="199" t="str">
        <f t="shared" si="3"/>
        <v>-</v>
      </c>
      <c r="F27" s="199">
        <f t="shared" si="4"/>
        <v>1</v>
      </c>
      <c r="G27" s="199">
        <f t="shared" si="5"/>
        <v>1</v>
      </c>
      <c r="H27" s="199" t="str">
        <f t="shared" si="6"/>
        <v>-</v>
      </c>
      <c r="I27" s="199" t="str">
        <f t="shared" si="7"/>
        <v>-</v>
      </c>
      <c r="J27" s="199" t="str">
        <f t="shared" si="8"/>
        <v>-</v>
      </c>
      <c r="K27" s="199">
        <f t="shared" si="9"/>
        <v>1</v>
      </c>
      <c r="L27" s="199">
        <f t="shared" si="10"/>
        <v>1</v>
      </c>
      <c r="M27" s="199" t="str">
        <f t="shared" si="11"/>
        <v>-</v>
      </c>
      <c r="N27" s="199" t="str">
        <f t="shared" si="12"/>
        <v>-</v>
      </c>
      <c r="O27" s="199" t="str">
        <f t="shared" si="13"/>
        <v>-</v>
      </c>
      <c r="P27" s="199">
        <f t="shared" si="14"/>
        <v>1</v>
      </c>
      <c r="Q27" s="199">
        <f t="shared" si="15"/>
        <v>1</v>
      </c>
      <c r="R27" s="201">
        <f t="shared" si="16"/>
        <v>1</v>
      </c>
    </row>
    <row r="28" spans="2:19" x14ac:dyDescent="0.35">
      <c r="B28" s="197" t="s">
        <v>31</v>
      </c>
      <c r="C28" s="180" t="str">
        <f t="shared" si="1"/>
        <v>-</v>
      </c>
      <c r="D28" s="180" t="str">
        <f t="shared" si="2"/>
        <v>-</v>
      </c>
      <c r="E28" s="180" t="str">
        <f t="shared" si="3"/>
        <v>-</v>
      </c>
      <c r="F28" s="180" t="str">
        <f t="shared" si="4"/>
        <v>-</v>
      </c>
      <c r="G28" s="180" t="str">
        <f t="shared" si="5"/>
        <v>-</v>
      </c>
      <c r="H28" s="180" t="str">
        <f t="shared" si="6"/>
        <v>-</v>
      </c>
      <c r="I28" s="180" t="str">
        <f t="shared" si="7"/>
        <v>-</v>
      </c>
      <c r="J28" s="180" t="str">
        <f t="shared" si="8"/>
        <v>-</v>
      </c>
      <c r="K28" s="180" t="str">
        <f t="shared" si="9"/>
        <v>-</v>
      </c>
      <c r="L28" s="180" t="str">
        <f t="shared" si="10"/>
        <v>-</v>
      </c>
      <c r="M28" s="180" t="str">
        <f t="shared" si="11"/>
        <v>-</v>
      </c>
      <c r="N28" s="180" t="str">
        <f t="shared" si="12"/>
        <v>-</v>
      </c>
      <c r="O28" s="180" t="str">
        <f t="shared" si="13"/>
        <v>-</v>
      </c>
      <c r="P28" s="180" t="str">
        <f t="shared" si="14"/>
        <v>-</v>
      </c>
      <c r="Q28" s="180" t="str">
        <f t="shared" si="15"/>
        <v>-</v>
      </c>
      <c r="R28" s="208" t="str">
        <f t="shared" si="16"/>
        <v>-</v>
      </c>
    </row>
    <row r="29" spans="2:19" x14ac:dyDescent="0.35">
      <c r="B29" s="196" t="s">
        <v>32</v>
      </c>
      <c r="C29" s="199" t="str">
        <f t="shared" si="1"/>
        <v>-</v>
      </c>
      <c r="D29" s="199">
        <f t="shared" si="2"/>
        <v>1</v>
      </c>
      <c r="E29" s="199" t="str">
        <f t="shared" si="3"/>
        <v>-</v>
      </c>
      <c r="F29" s="199">
        <f t="shared" si="4"/>
        <v>1</v>
      </c>
      <c r="G29" s="199">
        <f t="shared" si="5"/>
        <v>1</v>
      </c>
      <c r="H29" s="199" t="str">
        <f t="shared" si="6"/>
        <v>-</v>
      </c>
      <c r="I29" s="199" t="str">
        <f t="shared" si="7"/>
        <v>-</v>
      </c>
      <c r="J29" s="199" t="str">
        <f t="shared" si="8"/>
        <v>-</v>
      </c>
      <c r="K29" s="199">
        <f t="shared" si="9"/>
        <v>1</v>
      </c>
      <c r="L29" s="199">
        <f t="shared" si="10"/>
        <v>1</v>
      </c>
      <c r="M29" s="199" t="str">
        <f t="shared" si="11"/>
        <v>-</v>
      </c>
      <c r="N29" s="199" t="str">
        <f t="shared" si="12"/>
        <v>-</v>
      </c>
      <c r="O29" s="199">
        <f t="shared" si="13"/>
        <v>1</v>
      </c>
      <c r="P29" s="199">
        <f t="shared" si="14"/>
        <v>1</v>
      </c>
      <c r="Q29" s="199">
        <f t="shared" si="15"/>
        <v>1</v>
      </c>
      <c r="R29" s="201">
        <f t="shared" si="16"/>
        <v>1</v>
      </c>
    </row>
    <row r="30" spans="2:19" x14ac:dyDescent="0.35">
      <c r="B30" s="197" t="s">
        <v>35</v>
      </c>
      <c r="C30" s="180" t="str">
        <f t="shared" si="1"/>
        <v>-</v>
      </c>
      <c r="D30" s="180">
        <f t="shared" si="2"/>
        <v>1</v>
      </c>
      <c r="E30" s="180" t="str">
        <f t="shared" si="3"/>
        <v>-</v>
      </c>
      <c r="F30" s="180">
        <f t="shared" si="4"/>
        <v>1</v>
      </c>
      <c r="G30" s="180">
        <f t="shared" si="5"/>
        <v>1</v>
      </c>
      <c r="H30" s="180" t="str">
        <f t="shared" si="6"/>
        <v>-</v>
      </c>
      <c r="I30" s="180" t="str">
        <f t="shared" si="7"/>
        <v>-</v>
      </c>
      <c r="J30" s="180" t="str">
        <f t="shared" si="8"/>
        <v>-</v>
      </c>
      <c r="K30" s="180">
        <f t="shared" si="9"/>
        <v>1</v>
      </c>
      <c r="L30" s="180">
        <f t="shared" si="10"/>
        <v>1</v>
      </c>
      <c r="M30" s="180" t="str">
        <f t="shared" si="11"/>
        <v>-</v>
      </c>
      <c r="N30" s="180" t="str">
        <f t="shared" si="12"/>
        <v>-</v>
      </c>
      <c r="O30" s="180" t="str">
        <f t="shared" si="13"/>
        <v>-</v>
      </c>
      <c r="P30" s="180">
        <f t="shared" si="14"/>
        <v>1</v>
      </c>
      <c r="Q30" s="180">
        <f t="shared" si="15"/>
        <v>1</v>
      </c>
      <c r="R30" s="208">
        <f t="shared" si="16"/>
        <v>1</v>
      </c>
    </row>
    <row r="31" spans="2:19" x14ac:dyDescent="0.35">
      <c r="B31" s="196" t="s">
        <v>36</v>
      </c>
      <c r="C31" s="199" t="str">
        <f t="shared" si="1"/>
        <v>-</v>
      </c>
      <c r="D31" s="199">
        <f t="shared" si="2"/>
        <v>1</v>
      </c>
      <c r="E31" s="199" t="str">
        <f t="shared" si="3"/>
        <v>-</v>
      </c>
      <c r="F31" s="199">
        <f t="shared" si="4"/>
        <v>1</v>
      </c>
      <c r="G31" s="199">
        <f t="shared" si="5"/>
        <v>1</v>
      </c>
      <c r="H31" s="199" t="str">
        <f t="shared" si="6"/>
        <v>-</v>
      </c>
      <c r="I31" s="199" t="str">
        <f t="shared" si="7"/>
        <v>-</v>
      </c>
      <c r="J31" s="199" t="str">
        <f t="shared" si="8"/>
        <v>-</v>
      </c>
      <c r="K31" s="199">
        <f t="shared" si="9"/>
        <v>1</v>
      </c>
      <c r="L31" s="199">
        <f t="shared" si="10"/>
        <v>1</v>
      </c>
      <c r="M31" s="199" t="str">
        <f t="shared" si="11"/>
        <v>-</v>
      </c>
      <c r="N31" s="199" t="str">
        <f t="shared" si="12"/>
        <v>-</v>
      </c>
      <c r="O31" s="199">
        <f t="shared" si="13"/>
        <v>1</v>
      </c>
      <c r="P31" s="199">
        <f t="shared" si="14"/>
        <v>1</v>
      </c>
      <c r="Q31" s="199">
        <f t="shared" si="15"/>
        <v>1</v>
      </c>
      <c r="R31" s="201">
        <f t="shared" si="16"/>
        <v>1</v>
      </c>
    </row>
    <row r="32" spans="2:19" x14ac:dyDescent="0.35">
      <c r="B32" s="197" t="s">
        <v>37</v>
      </c>
      <c r="C32" s="180" t="str">
        <f t="shared" si="1"/>
        <v>-</v>
      </c>
      <c r="D32" s="180" t="str">
        <f t="shared" si="2"/>
        <v>-</v>
      </c>
      <c r="E32" s="180" t="str">
        <f t="shared" si="3"/>
        <v>-</v>
      </c>
      <c r="F32" s="180" t="str">
        <f t="shared" si="4"/>
        <v>-</v>
      </c>
      <c r="G32" s="180" t="str">
        <f t="shared" si="5"/>
        <v>-</v>
      </c>
      <c r="H32" s="180" t="str">
        <f t="shared" si="6"/>
        <v>-</v>
      </c>
      <c r="I32" s="180" t="str">
        <f t="shared" si="7"/>
        <v>-</v>
      </c>
      <c r="J32" s="180" t="str">
        <f t="shared" si="8"/>
        <v>-</v>
      </c>
      <c r="K32" s="180" t="str">
        <f t="shared" si="9"/>
        <v>-</v>
      </c>
      <c r="L32" s="180" t="str">
        <f t="shared" si="10"/>
        <v>-</v>
      </c>
      <c r="M32" s="180" t="str">
        <f t="shared" si="11"/>
        <v>-</v>
      </c>
      <c r="N32" s="180" t="str">
        <f t="shared" si="12"/>
        <v>-</v>
      </c>
      <c r="O32" s="180" t="str">
        <f t="shared" si="13"/>
        <v>-</v>
      </c>
      <c r="P32" s="180" t="str">
        <f t="shared" si="14"/>
        <v>-</v>
      </c>
      <c r="Q32" s="180" t="str">
        <f t="shared" si="15"/>
        <v>-</v>
      </c>
      <c r="R32" s="208" t="str">
        <f t="shared" si="16"/>
        <v>-</v>
      </c>
    </row>
    <row r="33" spans="2:18" x14ac:dyDescent="0.35">
      <c r="B33" s="196" t="s">
        <v>57</v>
      </c>
      <c r="C33" s="199" t="str">
        <f t="shared" si="1"/>
        <v>-</v>
      </c>
      <c r="D33" s="199" t="str">
        <f t="shared" si="2"/>
        <v>-</v>
      </c>
      <c r="E33" s="199" t="str">
        <f t="shared" si="3"/>
        <v>-</v>
      </c>
      <c r="F33" s="199">
        <f t="shared" si="4"/>
        <v>1</v>
      </c>
      <c r="G33" s="199">
        <f t="shared" si="5"/>
        <v>1</v>
      </c>
      <c r="H33" s="199" t="str">
        <f t="shared" si="6"/>
        <v>-</v>
      </c>
      <c r="I33" s="199" t="str">
        <f t="shared" si="7"/>
        <v>-</v>
      </c>
      <c r="J33" s="199" t="str">
        <f t="shared" si="8"/>
        <v>-</v>
      </c>
      <c r="K33" s="199">
        <f t="shared" si="9"/>
        <v>1</v>
      </c>
      <c r="L33" s="199">
        <f t="shared" si="10"/>
        <v>1</v>
      </c>
      <c r="M33" s="199" t="str">
        <f t="shared" si="11"/>
        <v>-</v>
      </c>
      <c r="N33" s="199" t="str">
        <f t="shared" si="12"/>
        <v>-</v>
      </c>
      <c r="O33" s="199">
        <f t="shared" si="13"/>
        <v>1</v>
      </c>
      <c r="P33" s="199" t="str">
        <f t="shared" si="14"/>
        <v>-</v>
      </c>
      <c r="Q33" s="199">
        <f t="shared" si="15"/>
        <v>1</v>
      </c>
      <c r="R33" s="201">
        <f t="shared" si="16"/>
        <v>1</v>
      </c>
    </row>
    <row r="34" spans="2:18" x14ac:dyDescent="0.35">
      <c r="B34" s="197" t="s">
        <v>379</v>
      </c>
      <c r="C34" s="180">
        <f t="shared" si="1"/>
        <v>1</v>
      </c>
      <c r="D34" s="180">
        <f t="shared" si="2"/>
        <v>1</v>
      </c>
      <c r="E34" s="180" t="str">
        <f t="shared" si="3"/>
        <v>-</v>
      </c>
      <c r="F34" s="180">
        <f t="shared" si="4"/>
        <v>1</v>
      </c>
      <c r="G34" s="180">
        <f t="shared" si="5"/>
        <v>1</v>
      </c>
      <c r="H34" s="180" t="str">
        <f t="shared" si="6"/>
        <v>-</v>
      </c>
      <c r="I34" s="180">
        <f t="shared" si="7"/>
        <v>1</v>
      </c>
      <c r="J34" s="180" t="str">
        <f t="shared" si="8"/>
        <v>-</v>
      </c>
      <c r="K34" s="180">
        <f t="shared" si="9"/>
        <v>1</v>
      </c>
      <c r="L34" s="180">
        <f t="shared" si="10"/>
        <v>1</v>
      </c>
      <c r="M34" s="180" t="str">
        <f t="shared" si="11"/>
        <v>-</v>
      </c>
      <c r="N34" s="180">
        <f t="shared" si="12"/>
        <v>1</v>
      </c>
      <c r="O34" s="180" t="str">
        <f t="shared" si="13"/>
        <v>-</v>
      </c>
      <c r="P34" s="180">
        <f t="shared" si="14"/>
        <v>1</v>
      </c>
      <c r="Q34" s="180">
        <f t="shared" si="15"/>
        <v>1</v>
      </c>
      <c r="R34" s="208">
        <f t="shared" si="16"/>
        <v>1</v>
      </c>
    </row>
    <row r="35" spans="2:18" x14ac:dyDescent="0.35">
      <c r="B35" s="196" t="s">
        <v>380</v>
      </c>
      <c r="C35" s="199">
        <f t="shared" si="1"/>
        <v>1</v>
      </c>
      <c r="D35" s="199">
        <f t="shared" si="2"/>
        <v>1</v>
      </c>
      <c r="E35" s="199" t="str">
        <f t="shared" si="3"/>
        <v>-</v>
      </c>
      <c r="F35" s="199">
        <f t="shared" si="4"/>
        <v>1</v>
      </c>
      <c r="G35" s="199">
        <f t="shared" si="5"/>
        <v>1</v>
      </c>
      <c r="H35" s="199" t="str">
        <f t="shared" si="6"/>
        <v>-</v>
      </c>
      <c r="I35" s="199" t="str">
        <f t="shared" si="7"/>
        <v>-</v>
      </c>
      <c r="J35" s="199" t="str">
        <f t="shared" si="8"/>
        <v>-</v>
      </c>
      <c r="K35" s="199">
        <f t="shared" si="9"/>
        <v>1</v>
      </c>
      <c r="L35" s="199">
        <f t="shared" si="10"/>
        <v>1</v>
      </c>
      <c r="M35" s="199" t="str">
        <f t="shared" si="11"/>
        <v>-</v>
      </c>
      <c r="N35" s="199">
        <f t="shared" si="12"/>
        <v>1</v>
      </c>
      <c r="O35" s="199">
        <f t="shared" si="13"/>
        <v>1</v>
      </c>
      <c r="P35" s="199">
        <f t="shared" si="14"/>
        <v>1</v>
      </c>
      <c r="Q35" s="199">
        <f t="shared" si="15"/>
        <v>1</v>
      </c>
      <c r="R35" s="201">
        <f t="shared" si="16"/>
        <v>1</v>
      </c>
    </row>
    <row r="36" spans="2:18" x14ac:dyDescent="0.35">
      <c r="B36" s="197" t="s">
        <v>381</v>
      </c>
      <c r="C36" s="180">
        <f t="shared" si="1"/>
        <v>1</v>
      </c>
      <c r="D36" s="180" t="str">
        <f t="shared" si="2"/>
        <v>-</v>
      </c>
      <c r="E36" s="180" t="str">
        <f t="shared" si="3"/>
        <v>-</v>
      </c>
      <c r="F36" s="180">
        <f t="shared" si="4"/>
        <v>1</v>
      </c>
      <c r="G36" s="180">
        <f t="shared" si="5"/>
        <v>1</v>
      </c>
      <c r="H36" s="180" t="str">
        <f t="shared" si="6"/>
        <v>-</v>
      </c>
      <c r="I36" s="180">
        <f t="shared" si="7"/>
        <v>1</v>
      </c>
      <c r="J36" s="180" t="str">
        <f t="shared" si="8"/>
        <v>-</v>
      </c>
      <c r="K36" s="180">
        <f t="shared" si="9"/>
        <v>1</v>
      </c>
      <c r="L36" s="180">
        <f t="shared" si="10"/>
        <v>1</v>
      </c>
      <c r="M36" s="180" t="str">
        <f t="shared" si="11"/>
        <v>-</v>
      </c>
      <c r="N36" s="180" t="str">
        <f t="shared" si="12"/>
        <v>-</v>
      </c>
      <c r="O36" s="180">
        <f t="shared" si="13"/>
        <v>1</v>
      </c>
      <c r="P36" s="180">
        <f t="shared" si="14"/>
        <v>1</v>
      </c>
      <c r="Q36" s="180">
        <f t="shared" si="15"/>
        <v>1</v>
      </c>
      <c r="R36" s="208">
        <f t="shared" si="16"/>
        <v>1</v>
      </c>
    </row>
    <row r="37" spans="2:18" x14ac:dyDescent="0.35">
      <c r="B37" s="196" t="s">
        <v>387</v>
      </c>
      <c r="C37" s="199" t="str">
        <f t="shared" si="1"/>
        <v>-</v>
      </c>
      <c r="D37" s="199">
        <f t="shared" si="2"/>
        <v>1</v>
      </c>
      <c r="E37" s="199" t="str">
        <f t="shared" si="3"/>
        <v>-</v>
      </c>
      <c r="F37" s="199">
        <f t="shared" si="4"/>
        <v>1</v>
      </c>
      <c r="G37" s="199">
        <f t="shared" si="5"/>
        <v>1</v>
      </c>
      <c r="H37" s="199" t="str">
        <f t="shared" si="6"/>
        <v>-</v>
      </c>
      <c r="I37" s="199" t="str">
        <f t="shared" si="7"/>
        <v>-</v>
      </c>
      <c r="J37" s="199" t="str">
        <f t="shared" si="8"/>
        <v>-</v>
      </c>
      <c r="K37" s="199">
        <f t="shared" si="9"/>
        <v>1</v>
      </c>
      <c r="L37" s="199">
        <f t="shared" si="10"/>
        <v>1</v>
      </c>
      <c r="M37" s="199" t="str">
        <f t="shared" si="11"/>
        <v>-</v>
      </c>
      <c r="N37" s="199" t="str">
        <f t="shared" si="12"/>
        <v>-</v>
      </c>
      <c r="O37" s="199">
        <f t="shared" si="13"/>
        <v>1</v>
      </c>
      <c r="P37" s="199">
        <f t="shared" si="14"/>
        <v>1</v>
      </c>
      <c r="Q37" s="199">
        <f t="shared" si="15"/>
        <v>1</v>
      </c>
      <c r="R37" s="201">
        <f t="shared" si="16"/>
        <v>1</v>
      </c>
    </row>
    <row r="38" spans="2:18" ht="15" thickBot="1" x14ac:dyDescent="0.4">
      <c r="B38" s="204" t="s">
        <v>389</v>
      </c>
      <c r="C38" s="209" t="str">
        <f t="shared" si="1"/>
        <v>-</v>
      </c>
      <c r="D38" s="209">
        <f t="shared" si="2"/>
        <v>1</v>
      </c>
      <c r="E38" s="209" t="str">
        <f t="shared" si="3"/>
        <v>-</v>
      </c>
      <c r="F38" s="209">
        <f t="shared" si="4"/>
        <v>1</v>
      </c>
      <c r="G38" s="209">
        <f t="shared" si="5"/>
        <v>1</v>
      </c>
      <c r="H38" s="209" t="str">
        <f t="shared" si="6"/>
        <v>-</v>
      </c>
      <c r="I38" s="209">
        <f t="shared" si="7"/>
        <v>1</v>
      </c>
      <c r="J38" s="209" t="str">
        <f t="shared" si="8"/>
        <v>-</v>
      </c>
      <c r="K38" s="209" t="str">
        <f t="shared" si="9"/>
        <v>-</v>
      </c>
      <c r="L38" s="209">
        <f t="shared" si="10"/>
        <v>1</v>
      </c>
      <c r="M38" s="209" t="str">
        <f t="shared" si="11"/>
        <v>-</v>
      </c>
      <c r="N38" s="209" t="str">
        <f t="shared" si="12"/>
        <v>-</v>
      </c>
      <c r="O38" s="209">
        <f t="shared" si="13"/>
        <v>1</v>
      </c>
      <c r="P38" s="209">
        <f t="shared" si="14"/>
        <v>1</v>
      </c>
      <c r="Q38" s="209">
        <f t="shared" si="15"/>
        <v>1</v>
      </c>
      <c r="R38" s="210">
        <f t="shared" si="16"/>
        <v>1</v>
      </c>
    </row>
    <row r="39" spans="2:18" ht="15" thickTop="1" x14ac:dyDescent="0.35"/>
  </sheetData>
  <mergeCells count="1">
    <mergeCell ref="S4:S5"/>
  </mergeCells>
  <conditionalFormatting sqref="A1:XFD3 A21:XFD22 A4:A20 T4:XFD20 A39:XFD1048576 A23:A38 S23:XFD38">
    <cfRule type="cellIs" dxfId="929" priority="581" operator="equal">
      <formula>"PHI"</formula>
    </cfRule>
    <cfRule type="cellIs" dxfId="928" priority="582" operator="equal">
      <formula>"GB"</formula>
    </cfRule>
    <cfRule type="cellIs" dxfId="927" priority="583" operator="equal">
      <formula>"MIN"</formula>
    </cfRule>
    <cfRule type="cellIs" dxfId="926" priority="584" operator="equal">
      <formula>"NYG"</formula>
    </cfRule>
    <cfRule type="cellIs" dxfId="925" priority="585" operator="equal">
      <formula>"PIT"</formula>
    </cfRule>
    <cfRule type="cellIs" dxfId="924" priority="586" operator="equal">
      <formula>"KC"</formula>
    </cfRule>
    <cfRule type="cellIs" dxfId="923" priority="587" operator="equal">
      <formula>"ARI"</formula>
    </cfRule>
    <cfRule type="cellIs" dxfId="922" priority="588" operator="equal">
      <formula>"LA"</formula>
    </cfRule>
    <cfRule type="cellIs" dxfId="921" priority="589" operator="equal">
      <formula>"SD"</formula>
    </cfRule>
    <cfRule type="cellIs" dxfId="920" priority="590" operator="equal">
      <formula>"NO"</formula>
    </cfRule>
    <cfRule type="cellIs" dxfId="919" priority="591" operator="equal">
      <formula>"SF"</formula>
    </cfRule>
    <cfRule type="cellIs" dxfId="918" priority="592" operator="equal">
      <formula>"DAL"</formula>
    </cfRule>
    <cfRule type="cellIs" dxfId="917" priority="593" operator="equal">
      <formula>"TB"</formula>
    </cfRule>
    <cfRule type="cellIs" dxfId="916" priority="594" operator="equal">
      <formula>"DEN"</formula>
    </cfRule>
    <cfRule type="cellIs" dxfId="915" priority="595" operator="equal">
      <formula>"BAL"</formula>
    </cfRule>
    <cfRule type="cellIs" dxfId="914" priority="596" operator="equal">
      <formula>"OAK"</formula>
    </cfRule>
    <cfRule type="cellIs" dxfId="913" priority="597" operator="equal">
      <formula>"HOU"</formula>
    </cfRule>
    <cfRule type="cellIs" dxfId="912" priority="598" operator="equal">
      <formula>"TEN"</formula>
    </cfRule>
    <cfRule type="cellIs" dxfId="911" priority="599" operator="equal">
      <formula>"CHI"</formula>
    </cfRule>
    <cfRule type="cellIs" dxfId="910" priority="600" operator="equal">
      <formula>"DET"</formula>
    </cfRule>
    <cfRule type="cellIs" dxfId="909" priority="601" operator="equal">
      <formula>"ATL"</formula>
    </cfRule>
    <cfRule type="cellIs" dxfId="908" priority="602" operator="equal">
      <formula>"CAR"</formula>
    </cfRule>
    <cfRule type="cellIs" dxfId="907" priority="603" operator="equal">
      <formula>"IND"</formula>
    </cfRule>
    <cfRule type="cellIs" dxfId="906" priority="604" operator="equal">
      <formula>"JAX"</formula>
    </cfRule>
    <cfRule type="cellIs" dxfId="905" priority="605" operator="equal">
      <formula>"NYJ"</formula>
    </cfRule>
    <cfRule type="cellIs" dxfId="904" priority="606" operator="equal">
      <formula>"SEA"</formula>
    </cfRule>
    <cfRule type="cellIs" dxfId="903" priority="607" operator="equal">
      <formula>"NE"</formula>
    </cfRule>
    <cfRule type="cellIs" dxfId="902" priority="608" operator="equal">
      <formula>"BUF"</formula>
    </cfRule>
    <cfRule type="cellIs" dxfId="901" priority="609" operator="equal">
      <formula>"WAS"</formula>
    </cfRule>
    <cfRule type="cellIs" dxfId="900" priority="610" operator="equal">
      <formula>"CLE"</formula>
    </cfRule>
    <cfRule type="cellIs" dxfId="899" priority="611" operator="equal">
      <formula>"CIN"</formula>
    </cfRule>
    <cfRule type="cellIs" dxfId="898" priority="612" operator="equal">
      <formula>"MIA"</formula>
    </cfRule>
  </conditionalFormatting>
  <conditionalFormatting sqref="B23:B24">
    <cfRule type="cellIs" dxfId="897" priority="517" operator="equal">
      <formula>"PHI"</formula>
    </cfRule>
    <cfRule type="cellIs" dxfId="896" priority="518" operator="equal">
      <formula>"GB"</formula>
    </cfRule>
    <cfRule type="cellIs" dxfId="895" priority="519" operator="equal">
      <formula>"MIN"</formula>
    </cfRule>
    <cfRule type="cellIs" dxfId="894" priority="520" operator="equal">
      <formula>"NYG"</formula>
    </cfRule>
    <cfRule type="cellIs" dxfId="893" priority="521" operator="equal">
      <formula>"PIT"</formula>
    </cfRule>
    <cfRule type="cellIs" dxfId="892" priority="522" operator="equal">
      <formula>"KC"</formula>
    </cfRule>
    <cfRule type="cellIs" dxfId="891" priority="523" operator="equal">
      <formula>"ARI"</formula>
    </cfRule>
    <cfRule type="cellIs" dxfId="890" priority="524" operator="equal">
      <formula>"LA"</formula>
    </cfRule>
    <cfRule type="cellIs" dxfId="889" priority="525" operator="equal">
      <formula>"SD"</formula>
    </cfRule>
    <cfRule type="cellIs" dxfId="888" priority="526" operator="equal">
      <formula>"NO"</formula>
    </cfRule>
    <cfRule type="cellIs" dxfId="887" priority="527" operator="equal">
      <formula>"SF"</formula>
    </cfRule>
    <cfRule type="cellIs" dxfId="886" priority="528" operator="equal">
      <formula>"DAL"</formula>
    </cfRule>
    <cfRule type="cellIs" dxfId="885" priority="529" operator="equal">
      <formula>"TB"</formula>
    </cfRule>
    <cfRule type="cellIs" dxfId="884" priority="530" operator="equal">
      <formula>"DEN"</formula>
    </cfRule>
    <cfRule type="cellIs" dxfId="883" priority="531" operator="equal">
      <formula>"BAL"</formula>
    </cfRule>
    <cfRule type="cellIs" dxfId="882" priority="532" operator="equal">
      <formula>"OAK"</formula>
    </cfRule>
    <cfRule type="cellIs" dxfId="881" priority="533" operator="equal">
      <formula>"HOU"</formula>
    </cfRule>
    <cfRule type="cellIs" dxfId="880" priority="534" operator="equal">
      <formula>"TEN"</formula>
    </cfRule>
    <cfRule type="cellIs" dxfId="879" priority="535" operator="equal">
      <formula>"CHI"</formula>
    </cfRule>
    <cfRule type="cellIs" dxfId="878" priority="536" operator="equal">
      <formula>"DET"</formula>
    </cfRule>
    <cfRule type="cellIs" dxfId="877" priority="537" operator="equal">
      <formula>"ATL"</formula>
    </cfRule>
    <cfRule type="cellIs" dxfId="876" priority="538" operator="equal">
      <formula>"CAR"</formula>
    </cfRule>
    <cfRule type="cellIs" dxfId="875" priority="539" operator="equal">
      <formula>"IND"</formula>
    </cfRule>
    <cfRule type="cellIs" dxfId="874" priority="540" operator="equal">
      <formula>"JAX"</formula>
    </cfRule>
    <cfRule type="cellIs" dxfId="873" priority="541" operator="equal">
      <formula>"NYJ"</formula>
    </cfRule>
    <cfRule type="cellIs" dxfId="872" priority="542" operator="equal">
      <formula>"SEA"</formula>
    </cfRule>
    <cfRule type="cellIs" dxfId="871" priority="543" operator="equal">
      <formula>"NE"</formula>
    </cfRule>
    <cfRule type="cellIs" dxfId="870" priority="544" operator="equal">
      <formula>"BUF"</formula>
    </cfRule>
    <cfRule type="cellIs" dxfId="869" priority="545" operator="equal">
      <formula>"WAS"</formula>
    </cfRule>
    <cfRule type="cellIs" dxfId="868" priority="546" operator="equal">
      <formula>"CLE"</formula>
    </cfRule>
    <cfRule type="cellIs" dxfId="867" priority="547" operator="equal">
      <formula>"CIN"</formula>
    </cfRule>
    <cfRule type="cellIs" dxfId="866" priority="548" operator="equal">
      <formula>"MIA"</formula>
    </cfRule>
  </conditionalFormatting>
  <conditionalFormatting sqref="S20">
    <cfRule type="cellIs" dxfId="865" priority="356" operator="equal">
      <formula>"PHI"</formula>
    </cfRule>
    <cfRule type="cellIs" dxfId="864" priority="357" operator="equal">
      <formula>"GB"</formula>
    </cfRule>
    <cfRule type="cellIs" dxfId="863" priority="358" operator="equal">
      <formula>"MIN"</formula>
    </cfRule>
    <cfRule type="cellIs" dxfId="862" priority="359" operator="equal">
      <formula>"NYG"</formula>
    </cfRule>
    <cfRule type="cellIs" dxfId="861" priority="360" operator="equal">
      <formula>"PIT"</formula>
    </cfRule>
    <cfRule type="cellIs" dxfId="860" priority="361" operator="equal">
      <formula>"KC"</formula>
    </cfRule>
    <cfRule type="cellIs" dxfId="859" priority="362" operator="equal">
      <formula>"ARI"</formula>
    </cfRule>
    <cfRule type="cellIs" dxfId="858" priority="363" operator="equal">
      <formula>"LA"</formula>
    </cfRule>
    <cfRule type="cellIs" dxfId="857" priority="364" operator="equal">
      <formula>"SD"</formula>
    </cfRule>
    <cfRule type="cellIs" dxfId="856" priority="365" operator="equal">
      <formula>"NO"</formula>
    </cfRule>
    <cfRule type="cellIs" dxfId="855" priority="366" operator="equal">
      <formula>"SF"</formula>
    </cfRule>
    <cfRule type="cellIs" dxfId="854" priority="367" operator="equal">
      <formula>"DAL"</formula>
    </cfRule>
    <cfRule type="cellIs" dxfId="853" priority="368" operator="equal">
      <formula>"TB"</formula>
    </cfRule>
    <cfRule type="cellIs" dxfId="852" priority="369" operator="equal">
      <formula>"DEN"</formula>
    </cfRule>
    <cfRule type="cellIs" dxfId="851" priority="370" operator="equal">
      <formula>"BAL"</formula>
    </cfRule>
    <cfRule type="cellIs" dxfId="850" priority="371" operator="equal">
      <formula>"OAK"</formula>
    </cfRule>
    <cfRule type="cellIs" dxfId="849" priority="372" operator="equal">
      <formula>"HOU"</formula>
    </cfRule>
    <cfRule type="cellIs" dxfId="848" priority="373" operator="equal">
      <formula>"TEN"</formula>
    </cfRule>
    <cfRule type="cellIs" dxfId="847" priority="374" operator="equal">
      <formula>"CHI"</formula>
    </cfRule>
    <cfRule type="cellIs" dxfId="846" priority="375" operator="equal">
      <formula>"DET"</formula>
    </cfRule>
    <cfRule type="cellIs" dxfId="845" priority="376" operator="equal">
      <formula>"ATL"</formula>
    </cfRule>
    <cfRule type="cellIs" dxfId="844" priority="377" operator="equal">
      <formula>"CAR"</formula>
    </cfRule>
    <cfRule type="cellIs" dxfId="843" priority="378" operator="equal">
      <formula>"IND"</formula>
    </cfRule>
    <cfRule type="cellIs" dxfId="842" priority="379" operator="equal">
      <formula>"JAX"</formula>
    </cfRule>
    <cfRule type="cellIs" dxfId="841" priority="380" operator="equal">
      <formula>"NYJ"</formula>
    </cfRule>
    <cfRule type="cellIs" dxfId="840" priority="381" operator="equal">
      <formula>"SEA"</formula>
    </cfRule>
    <cfRule type="cellIs" dxfId="839" priority="382" operator="equal">
      <formula>"NE"</formula>
    </cfRule>
    <cfRule type="cellIs" dxfId="838" priority="383" operator="equal">
      <formula>"BUF"</formula>
    </cfRule>
    <cfRule type="cellIs" dxfId="837" priority="384" operator="equal">
      <formula>"WAS"</formula>
    </cfRule>
    <cfRule type="cellIs" dxfId="836" priority="385" operator="equal">
      <formula>"CLE"</formula>
    </cfRule>
    <cfRule type="cellIs" dxfId="835" priority="386" operator="equal">
      <formula>"CIN"</formula>
    </cfRule>
    <cfRule type="cellIs" dxfId="834" priority="387" operator="equal">
      <formula>"MIA"</formula>
    </cfRule>
  </conditionalFormatting>
  <conditionalFormatting sqref="S4:S5">
    <cfRule type="cellIs" dxfId="833" priority="324" operator="equal">
      <formula>"PHI"</formula>
    </cfRule>
    <cfRule type="cellIs" dxfId="832" priority="325" operator="equal">
      <formula>"GB"</formula>
    </cfRule>
    <cfRule type="cellIs" dxfId="831" priority="326" operator="equal">
      <formula>"MIN"</formula>
    </cfRule>
    <cfRule type="cellIs" dxfId="830" priority="327" operator="equal">
      <formula>"NYG"</formula>
    </cfRule>
    <cfRule type="cellIs" dxfId="829" priority="328" operator="equal">
      <formula>"PIT"</formula>
    </cfRule>
    <cfRule type="cellIs" dxfId="828" priority="329" operator="equal">
      <formula>"KC"</formula>
    </cfRule>
    <cfRule type="cellIs" dxfId="827" priority="330" operator="equal">
      <formula>"ARI"</formula>
    </cfRule>
    <cfRule type="cellIs" dxfId="826" priority="331" operator="equal">
      <formula>"LA"</formula>
    </cfRule>
    <cfRule type="cellIs" dxfId="825" priority="332" operator="equal">
      <formula>"SD"</formula>
    </cfRule>
    <cfRule type="cellIs" dxfId="824" priority="333" operator="equal">
      <formula>"NO"</formula>
    </cfRule>
    <cfRule type="cellIs" dxfId="823" priority="334" operator="equal">
      <formula>"SF"</formula>
    </cfRule>
    <cfRule type="cellIs" dxfId="822" priority="335" operator="equal">
      <formula>"DAL"</formula>
    </cfRule>
    <cfRule type="cellIs" dxfId="821" priority="336" operator="equal">
      <formula>"TB"</formula>
    </cfRule>
    <cfRule type="cellIs" dxfId="820" priority="337" operator="equal">
      <formula>"DEN"</formula>
    </cfRule>
    <cfRule type="cellIs" dxfId="819" priority="338" operator="equal">
      <formula>"BAL"</formula>
    </cfRule>
    <cfRule type="cellIs" dxfId="818" priority="339" operator="equal">
      <formula>"OAK"</formula>
    </cfRule>
    <cfRule type="cellIs" dxfId="817" priority="340" operator="equal">
      <formula>"HOU"</formula>
    </cfRule>
    <cfRule type="cellIs" dxfId="816" priority="341" operator="equal">
      <formula>"TEN"</formula>
    </cfRule>
    <cfRule type="cellIs" dxfId="815" priority="342" operator="equal">
      <formula>"CHI"</formula>
    </cfRule>
    <cfRule type="cellIs" dxfId="814" priority="343" operator="equal">
      <formula>"DET"</formula>
    </cfRule>
    <cfRule type="cellIs" dxfId="813" priority="344" operator="equal">
      <formula>"ATL"</formula>
    </cfRule>
    <cfRule type="cellIs" dxfId="812" priority="345" operator="equal">
      <formula>"CAR"</formula>
    </cfRule>
    <cfRule type="cellIs" dxfId="811" priority="346" operator="equal">
      <formula>"IND"</formula>
    </cfRule>
    <cfRule type="cellIs" dxfId="810" priority="347" operator="equal">
      <formula>"JAX"</formula>
    </cfRule>
    <cfRule type="cellIs" dxfId="809" priority="348" operator="equal">
      <formula>"NYJ"</formula>
    </cfRule>
    <cfRule type="cellIs" dxfId="808" priority="349" operator="equal">
      <formula>"SEA"</formula>
    </cfRule>
    <cfRule type="cellIs" dxfId="807" priority="350" operator="equal">
      <formula>"NE"</formula>
    </cfRule>
    <cfRule type="cellIs" dxfId="806" priority="351" operator="equal">
      <formula>"BUF"</formula>
    </cfRule>
    <cfRule type="cellIs" dxfId="805" priority="352" operator="equal">
      <formula>"WAS"</formula>
    </cfRule>
    <cfRule type="cellIs" dxfId="804" priority="353" operator="equal">
      <formula>"CLE"</formula>
    </cfRule>
    <cfRule type="cellIs" dxfId="803" priority="354" operator="equal">
      <formula>"CIN"</formula>
    </cfRule>
    <cfRule type="cellIs" dxfId="802" priority="355" operator="equal">
      <formula>"MIA"</formula>
    </cfRule>
  </conditionalFormatting>
  <conditionalFormatting sqref="B20">
    <cfRule type="cellIs" dxfId="801" priority="292" operator="equal">
      <formula>"PHI"</formula>
    </cfRule>
    <cfRule type="cellIs" dxfId="800" priority="293" operator="equal">
      <formula>"GB"</formula>
    </cfRule>
    <cfRule type="cellIs" dxfId="799" priority="294" operator="equal">
      <formula>"MIN"</formula>
    </cfRule>
    <cfRule type="cellIs" dxfId="798" priority="295" operator="equal">
      <formula>"NYG"</formula>
    </cfRule>
    <cfRule type="cellIs" dxfId="797" priority="296" operator="equal">
      <formula>"PIT"</formula>
    </cfRule>
    <cfRule type="cellIs" dxfId="796" priority="297" operator="equal">
      <formula>"KC"</formula>
    </cfRule>
    <cfRule type="cellIs" dxfId="795" priority="298" operator="equal">
      <formula>"ARI"</formula>
    </cfRule>
    <cfRule type="cellIs" dxfId="794" priority="299" operator="equal">
      <formula>"LA"</formula>
    </cfRule>
    <cfRule type="cellIs" dxfId="793" priority="300" operator="equal">
      <formula>"SD"</formula>
    </cfRule>
    <cfRule type="cellIs" dxfId="792" priority="301" operator="equal">
      <formula>"NO"</formula>
    </cfRule>
    <cfRule type="cellIs" dxfId="791" priority="302" operator="equal">
      <formula>"SF"</formula>
    </cfRule>
    <cfRule type="cellIs" dxfId="790" priority="303" operator="equal">
      <formula>"DAL"</formula>
    </cfRule>
    <cfRule type="cellIs" dxfId="789" priority="304" operator="equal">
      <formula>"TB"</formula>
    </cfRule>
    <cfRule type="cellIs" dxfId="788" priority="305" operator="equal">
      <formula>"DEN"</formula>
    </cfRule>
    <cfRule type="cellIs" dxfId="787" priority="306" operator="equal">
      <formula>"BAL"</formula>
    </cfRule>
    <cfRule type="cellIs" dxfId="786" priority="307" operator="equal">
      <formula>"OAK"</formula>
    </cfRule>
    <cfRule type="cellIs" dxfId="785" priority="308" operator="equal">
      <formula>"HOU"</formula>
    </cfRule>
    <cfRule type="cellIs" dxfId="784" priority="309" operator="equal">
      <formula>"TEN"</formula>
    </cfRule>
    <cfRule type="cellIs" dxfId="783" priority="310" operator="equal">
      <formula>"CHI"</formula>
    </cfRule>
    <cfRule type="cellIs" dxfId="782" priority="311" operator="equal">
      <formula>"DET"</formula>
    </cfRule>
    <cfRule type="cellIs" dxfId="781" priority="312" operator="equal">
      <formula>"ATL"</formula>
    </cfRule>
    <cfRule type="cellIs" dxfId="780" priority="313" operator="equal">
      <formula>"CAR"</formula>
    </cfRule>
    <cfRule type="cellIs" dxfId="779" priority="314" operator="equal">
      <formula>"IND"</formula>
    </cfRule>
    <cfRule type="cellIs" dxfId="778" priority="315" operator="equal">
      <formula>"JAX"</formula>
    </cfRule>
    <cfRule type="cellIs" dxfId="777" priority="316" operator="equal">
      <formula>"NYJ"</formula>
    </cfRule>
    <cfRule type="cellIs" dxfId="776" priority="317" operator="equal">
      <formula>"SEA"</formula>
    </cfRule>
    <cfRule type="cellIs" dxfId="775" priority="318" operator="equal">
      <formula>"NE"</formula>
    </cfRule>
    <cfRule type="cellIs" dxfId="774" priority="319" operator="equal">
      <formula>"BUF"</formula>
    </cfRule>
    <cfRule type="cellIs" dxfId="773" priority="320" operator="equal">
      <formula>"WAS"</formula>
    </cfRule>
    <cfRule type="cellIs" dxfId="772" priority="321" operator="equal">
      <formula>"CLE"</formula>
    </cfRule>
    <cfRule type="cellIs" dxfId="771" priority="322" operator="equal">
      <formula>"CIN"</formula>
    </cfRule>
    <cfRule type="cellIs" dxfId="770" priority="323" operator="equal">
      <formula>"MIA"</formula>
    </cfRule>
  </conditionalFormatting>
  <conditionalFormatting sqref="C20:R20">
    <cfRule type="cellIs" dxfId="769" priority="260" operator="equal">
      <formula>"PHI"</formula>
    </cfRule>
    <cfRule type="cellIs" dxfId="768" priority="261" operator="equal">
      <formula>"GB"</formula>
    </cfRule>
    <cfRule type="cellIs" dxfId="767" priority="262" operator="equal">
      <formula>"MIN"</formula>
    </cfRule>
    <cfRule type="cellIs" dxfId="766" priority="263" operator="equal">
      <formula>"NYG"</formula>
    </cfRule>
    <cfRule type="cellIs" dxfId="765" priority="264" operator="equal">
      <formula>"PIT"</formula>
    </cfRule>
    <cfRule type="cellIs" dxfId="764" priority="265" operator="equal">
      <formula>"KC"</formula>
    </cfRule>
    <cfRule type="cellIs" dxfId="763" priority="266" operator="equal">
      <formula>"ARI"</formula>
    </cfRule>
    <cfRule type="cellIs" dxfId="762" priority="267" operator="equal">
      <formula>"LA"</formula>
    </cfRule>
    <cfRule type="cellIs" dxfId="761" priority="268" operator="equal">
      <formula>"SD"</formula>
    </cfRule>
    <cfRule type="cellIs" dxfId="760" priority="269" operator="equal">
      <formula>"NO"</formula>
    </cfRule>
    <cfRule type="cellIs" dxfId="759" priority="270" operator="equal">
      <formula>"SF"</formula>
    </cfRule>
    <cfRule type="cellIs" dxfId="758" priority="271" operator="equal">
      <formula>"DAL"</formula>
    </cfRule>
    <cfRule type="cellIs" dxfId="757" priority="272" operator="equal">
      <formula>"TB"</formula>
    </cfRule>
    <cfRule type="cellIs" dxfId="756" priority="273" operator="equal">
      <formula>"DEN"</formula>
    </cfRule>
    <cfRule type="cellIs" dxfId="755" priority="274" operator="equal">
      <formula>"BAL"</formula>
    </cfRule>
    <cfRule type="cellIs" dxfId="754" priority="275" operator="equal">
      <formula>"OAK"</formula>
    </cfRule>
    <cfRule type="cellIs" dxfId="753" priority="276" operator="equal">
      <formula>"HOU"</formula>
    </cfRule>
    <cfRule type="cellIs" dxfId="752" priority="277" operator="equal">
      <formula>"TEN"</formula>
    </cfRule>
    <cfRule type="cellIs" dxfId="751" priority="278" operator="equal">
      <formula>"CHI"</formula>
    </cfRule>
    <cfRule type="cellIs" dxfId="750" priority="279" operator="equal">
      <formula>"DET"</formula>
    </cfRule>
    <cfRule type="cellIs" dxfId="749" priority="280" operator="equal">
      <formula>"ATL"</formula>
    </cfRule>
    <cfRule type="cellIs" dxfId="748" priority="281" operator="equal">
      <formula>"CAR"</formula>
    </cfRule>
    <cfRule type="cellIs" dxfId="747" priority="282" operator="equal">
      <formula>"IND"</formula>
    </cfRule>
    <cfRule type="cellIs" dxfId="746" priority="283" operator="equal">
      <formula>"JAX"</formula>
    </cfRule>
    <cfRule type="cellIs" dxfId="745" priority="284" operator="equal">
      <formula>"NYJ"</formula>
    </cfRule>
    <cfRule type="cellIs" dxfId="744" priority="285" operator="equal">
      <formula>"SEA"</formula>
    </cfRule>
    <cfRule type="cellIs" dxfId="743" priority="286" operator="equal">
      <formula>"NE"</formula>
    </cfRule>
    <cfRule type="cellIs" dxfId="742" priority="287" operator="equal">
      <formula>"BUF"</formula>
    </cfRule>
    <cfRule type="cellIs" dxfId="741" priority="288" operator="equal">
      <formula>"WAS"</formula>
    </cfRule>
    <cfRule type="cellIs" dxfId="740" priority="289" operator="equal">
      <formula>"CLE"</formula>
    </cfRule>
    <cfRule type="cellIs" dxfId="739" priority="290" operator="equal">
      <formula>"CIN"</formula>
    </cfRule>
    <cfRule type="cellIs" dxfId="738" priority="291" operator="equal">
      <formula>"MIA"</formula>
    </cfRule>
  </conditionalFormatting>
  <conditionalFormatting sqref="Q6:R19">
    <cfRule type="cellIs" dxfId="737" priority="195" operator="equal">
      <formula>"PHI"</formula>
    </cfRule>
    <cfRule type="cellIs" dxfId="736" priority="196" operator="equal">
      <formula>"GB"</formula>
    </cfRule>
    <cfRule type="cellIs" dxfId="735" priority="197" operator="equal">
      <formula>"MIN"</formula>
    </cfRule>
    <cfRule type="cellIs" dxfId="734" priority="198" operator="equal">
      <formula>"NYG"</formula>
    </cfRule>
    <cfRule type="cellIs" dxfId="733" priority="199" operator="equal">
      <formula>"PIT"</formula>
    </cfRule>
    <cfRule type="cellIs" dxfId="732" priority="200" operator="equal">
      <formula>"KC"</formula>
    </cfRule>
    <cfRule type="cellIs" dxfId="731" priority="201" operator="equal">
      <formula>"ARI"</formula>
    </cfRule>
    <cfRule type="cellIs" dxfId="730" priority="202" operator="equal">
      <formula>"LA"</formula>
    </cfRule>
    <cfRule type="cellIs" dxfId="729" priority="203" operator="equal">
      <formula>"SD"</formula>
    </cfRule>
    <cfRule type="cellIs" dxfId="728" priority="204" operator="equal">
      <formula>"NO"</formula>
    </cfRule>
    <cfRule type="cellIs" dxfId="727" priority="205" operator="equal">
      <formula>"SF"</formula>
    </cfRule>
    <cfRule type="cellIs" dxfId="726" priority="206" operator="equal">
      <formula>"DAL"</formula>
    </cfRule>
    <cfRule type="cellIs" dxfId="725" priority="207" operator="equal">
      <formula>"TB"</formula>
    </cfRule>
    <cfRule type="cellIs" dxfId="724" priority="208" operator="equal">
      <formula>"DEN"</formula>
    </cfRule>
    <cfRule type="cellIs" dxfId="723" priority="209" operator="equal">
      <formula>"BAL"</formula>
    </cfRule>
    <cfRule type="cellIs" dxfId="722" priority="210" operator="equal">
      <formula>"OAK"</formula>
    </cfRule>
    <cfRule type="cellIs" dxfId="721" priority="211" operator="equal">
      <formula>"HOU"</formula>
    </cfRule>
    <cfRule type="cellIs" dxfId="720" priority="212" operator="equal">
      <formula>"TEN"</formula>
    </cfRule>
    <cfRule type="cellIs" dxfId="719" priority="213" operator="equal">
      <formula>"CHI"</formula>
    </cfRule>
    <cfRule type="cellIs" dxfId="718" priority="214" operator="equal">
      <formula>"DET"</formula>
    </cfRule>
    <cfRule type="cellIs" dxfId="717" priority="215" operator="equal">
      <formula>"ATL"</formula>
    </cfRule>
    <cfRule type="cellIs" dxfId="716" priority="216" operator="equal">
      <formula>"CAR"</formula>
    </cfRule>
    <cfRule type="cellIs" dxfId="715" priority="217" operator="equal">
      <formula>"IND"</formula>
    </cfRule>
    <cfRule type="cellIs" dxfId="714" priority="218" operator="equal">
      <formula>"JAX"</formula>
    </cfRule>
    <cfRule type="cellIs" dxfId="713" priority="219" operator="equal">
      <formula>"NYJ"</formula>
    </cfRule>
    <cfRule type="cellIs" dxfId="712" priority="220" operator="equal">
      <formula>"SEA"</formula>
    </cfRule>
    <cfRule type="cellIs" dxfId="711" priority="221" operator="equal">
      <formula>"NE"</formula>
    </cfRule>
    <cfRule type="cellIs" dxfId="710" priority="222" operator="equal">
      <formula>"BUF"</formula>
    </cfRule>
    <cfRule type="cellIs" dxfId="709" priority="223" operator="equal">
      <formula>"WAS"</formula>
    </cfRule>
    <cfRule type="cellIs" dxfId="708" priority="224" operator="equal">
      <formula>"CLE"</formula>
    </cfRule>
    <cfRule type="cellIs" dxfId="707" priority="225" operator="equal">
      <formula>"CIN"</formula>
    </cfRule>
    <cfRule type="cellIs" dxfId="706" priority="226" operator="equal">
      <formula>"MIA"</formula>
    </cfRule>
  </conditionalFormatting>
  <conditionalFormatting sqref="B6:P19">
    <cfRule type="cellIs" dxfId="705" priority="163" operator="equal">
      <formula>"PHI"</formula>
    </cfRule>
    <cfRule type="cellIs" dxfId="704" priority="164" operator="equal">
      <formula>"GB"</formula>
    </cfRule>
    <cfRule type="cellIs" dxfId="703" priority="165" operator="equal">
      <formula>"MIN"</formula>
    </cfRule>
    <cfRule type="cellIs" dxfId="702" priority="166" operator="equal">
      <formula>"NYG"</formula>
    </cfRule>
    <cfRule type="cellIs" dxfId="701" priority="167" operator="equal">
      <formula>"PIT"</formula>
    </cfRule>
    <cfRule type="cellIs" dxfId="700" priority="168" operator="equal">
      <formula>"KC"</formula>
    </cfRule>
    <cfRule type="cellIs" dxfId="699" priority="169" operator="equal">
      <formula>"ARI"</formula>
    </cfRule>
    <cfRule type="cellIs" dxfId="698" priority="170" operator="equal">
      <formula>"LA"</formula>
    </cfRule>
    <cfRule type="cellIs" dxfId="697" priority="171" operator="equal">
      <formula>"SD"</formula>
    </cfRule>
    <cfRule type="cellIs" dxfId="696" priority="172" operator="equal">
      <formula>"NO"</formula>
    </cfRule>
    <cfRule type="cellIs" dxfId="695" priority="173" operator="equal">
      <formula>"SF"</formula>
    </cfRule>
    <cfRule type="cellIs" dxfId="694" priority="174" operator="equal">
      <formula>"DAL"</formula>
    </cfRule>
    <cfRule type="cellIs" dxfId="693" priority="175" operator="equal">
      <formula>"TB"</formula>
    </cfRule>
    <cfRule type="cellIs" dxfId="692" priority="176" operator="equal">
      <formula>"DEN"</formula>
    </cfRule>
    <cfRule type="cellIs" dxfId="691" priority="177" operator="equal">
      <formula>"BAL"</formula>
    </cfRule>
    <cfRule type="cellIs" dxfId="690" priority="178" operator="equal">
      <formula>"OAK"</formula>
    </cfRule>
    <cfRule type="cellIs" dxfId="689" priority="179" operator="equal">
      <formula>"HOU"</formula>
    </cfRule>
    <cfRule type="cellIs" dxfId="688" priority="180" operator="equal">
      <formula>"TEN"</formula>
    </cfRule>
    <cfRule type="cellIs" dxfId="687" priority="181" operator="equal">
      <formula>"CHI"</formula>
    </cfRule>
    <cfRule type="cellIs" dxfId="686" priority="182" operator="equal">
      <formula>"DET"</formula>
    </cfRule>
    <cfRule type="cellIs" dxfId="685" priority="183" operator="equal">
      <formula>"ATL"</formula>
    </cfRule>
    <cfRule type="cellIs" dxfId="684" priority="184" operator="equal">
      <formula>"CAR"</formula>
    </cfRule>
    <cfRule type="cellIs" dxfId="683" priority="185" operator="equal">
      <formula>"IND"</formula>
    </cfRule>
    <cfRule type="cellIs" dxfId="682" priority="186" operator="equal">
      <formula>"JAX"</formula>
    </cfRule>
    <cfRule type="cellIs" dxfId="681" priority="187" operator="equal">
      <formula>"NYJ"</formula>
    </cfRule>
    <cfRule type="cellIs" dxfId="680" priority="188" operator="equal">
      <formula>"SEA"</formula>
    </cfRule>
    <cfRule type="cellIs" dxfId="679" priority="189" operator="equal">
      <formula>"NE"</formula>
    </cfRule>
    <cfRule type="cellIs" dxfId="678" priority="190" operator="equal">
      <formula>"BUF"</formula>
    </cfRule>
    <cfRule type="cellIs" dxfId="677" priority="191" operator="equal">
      <formula>"WAS"</formula>
    </cfRule>
    <cfRule type="cellIs" dxfId="676" priority="192" operator="equal">
      <formula>"CLE"</formula>
    </cfRule>
    <cfRule type="cellIs" dxfId="675" priority="193" operator="equal">
      <formula>"CIN"</formula>
    </cfRule>
    <cfRule type="cellIs" dxfId="674" priority="194" operator="equal">
      <formula>"MIA"</formula>
    </cfRule>
  </conditionalFormatting>
  <conditionalFormatting sqref="Q25:R38">
    <cfRule type="cellIs" dxfId="673" priority="33" operator="equal">
      <formula>"PHI"</formula>
    </cfRule>
    <cfRule type="cellIs" dxfId="672" priority="34" operator="equal">
      <formula>"GB"</formula>
    </cfRule>
    <cfRule type="cellIs" dxfId="671" priority="35" operator="equal">
      <formula>"MIN"</formula>
    </cfRule>
    <cfRule type="cellIs" dxfId="670" priority="36" operator="equal">
      <formula>"NYG"</formula>
    </cfRule>
    <cfRule type="cellIs" dxfId="669" priority="37" operator="equal">
      <formula>"PIT"</formula>
    </cfRule>
    <cfRule type="cellIs" dxfId="668" priority="38" operator="equal">
      <formula>"KC"</formula>
    </cfRule>
    <cfRule type="cellIs" dxfId="667" priority="39" operator="equal">
      <formula>"ARI"</formula>
    </cfRule>
    <cfRule type="cellIs" dxfId="666" priority="40" operator="equal">
      <formula>"LA"</formula>
    </cfRule>
    <cfRule type="cellIs" dxfId="665" priority="41" operator="equal">
      <formula>"SD"</formula>
    </cfRule>
    <cfRule type="cellIs" dxfId="664" priority="42" operator="equal">
      <formula>"NO"</formula>
    </cfRule>
    <cfRule type="cellIs" dxfId="663" priority="43" operator="equal">
      <formula>"SF"</formula>
    </cfRule>
    <cfRule type="cellIs" dxfId="662" priority="44" operator="equal">
      <formula>"DAL"</formula>
    </cfRule>
    <cfRule type="cellIs" dxfId="661" priority="45" operator="equal">
      <formula>"TB"</formula>
    </cfRule>
    <cfRule type="cellIs" dxfId="660" priority="46" operator="equal">
      <formula>"DEN"</formula>
    </cfRule>
    <cfRule type="cellIs" dxfId="659" priority="47" operator="equal">
      <formula>"BAL"</formula>
    </cfRule>
    <cfRule type="cellIs" dxfId="658" priority="48" operator="equal">
      <formula>"OAK"</formula>
    </cfRule>
    <cfRule type="cellIs" dxfId="657" priority="49" operator="equal">
      <formula>"HOU"</formula>
    </cfRule>
    <cfRule type="cellIs" dxfId="656" priority="50" operator="equal">
      <formula>"TEN"</formula>
    </cfRule>
    <cfRule type="cellIs" dxfId="655" priority="51" operator="equal">
      <formula>"CHI"</formula>
    </cfRule>
    <cfRule type="cellIs" dxfId="654" priority="52" operator="equal">
      <formula>"DET"</formula>
    </cfRule>
    <cfRule type="cellIs" dxfId="653" priority="53" operator="equal">
      <formula>"ATL"</formula>
    </cfRule>
    <cfRule type="cellIs" dxfId="652" priority="54" operator="equal">
      <formula>"CAR"</formula>
    </cfRule>
    <cfRule type="cellIs" dxfId="651" priority="55" operator="equal">
      <formula>"IND"</formula>
    </cfRule>
    <cfRule type="cellIs" dxfId="650" priority="56" operator="equal">
      <formula>"JAX"</formula>
    </cfRule>
    <cfRule type="cellIs" dxfId="649" priority="57" operator="equal">
      <formula>"NYJ"</formula>
    </cfRule>
    <cfRule type="cellIs" dxfId="648" priority="58" operator="equal">
      <formula>"SEA"</formula>
    </cfRule>
    <cfRule type="cellIs" dxfId="647" priority="59" operator="equal">
      <formula>"NE"</formula>
    </cfRule>
    <cfRule type="cellIs" dxfId="646" priority="60" operator="equal">
      <formula>"BUF"</formula>
    </cfRule>
    <cfRule type="cellIs" dxfId="645" priority="61" operator="equal">
      <formula>"WAS"</formula>
    </cfRule>
    <cfRule type="cellIs" dxfId="644" priority="62" operator="equal">
      <formula>"CLE"</formula>
    </cfRule>
    <cfRule type="cellIs" dxfId="643" priority="63" operator="equal">
      <formula>"CIN"</formula>
    </cfRule>
    <cfRule type="cellIs" dxfId="642" priority="64" operator="equal">
      <formula>"MIA"</formula>
    </cfRule>
  </conditionalFormatting>
  <conditionalFormatting sqref="B37:B38">
    <cfRule type="cellIs" dxfId="641" priority="66" operator="equal">
      <formula>"PHI"</formula>
    </cfRule>
    <cfRule type="cellIs" dxfId="640" priority="67" operator="equal">
      <formula>"GB"</formula>
    </cfRule>
    <cfRule type="cellIs" dxfId="639" priority="68" operator="equal">
      <formula>"MIN"</formula>
    </cfRule>
    <cfRule type="cellIs" dxfId="638" priority="69" operator="equal">
      <formula>"NYG"</formula>
    </cfRule>
    <cfRule type="cellIs" dxfId="637" priority="70" operator="equal">
      <formula>"PIT"</formula>
    </cfRule>
    <cfRule type="cellIs" dxfId="636" priority="71" operator="equal">
      <formula>"KC"</formula>
    </cfRule>
    <cfRule type="cellIs" dxfId="635" priority="72" operator="equal">
      <formula>"ARI"</formula>
    </cfRule>
    <cfRule type="cellIs" dxfId="634" priority="73" operator="equal">
      <formula>"LA"</formula>
    </cfRule>
    <cfRule type="cellIs" dxfId="633" priority="74" operator="equal">
      <formula>"SD"</formula>
    </cfRule>
    <cfRule type="cellIs" dxfId="632" priority="75" operator="equal">
      <formula>"NO"</formula>
    </cfRule>
    <cfRule type="cellIs" dxfId="631" priority="76" operator="equal">
      <formula>"SF"</formula>
    </cfRule>
    <cfRule type="cellIs" dxfId="630" priority="77" operator="equal">
      <formula>"DAL"</formula>
    </cfRule>
    <cfRule type="cellIs" dxfId="629" priority="78" operator="equal">
      <formula>"TB"</formula>
    </cfRule>
    <cfRule type="cellIs" dxfId="628" priority="79" operator="equal">
      <formula>"DEN"</formula>
    </cfRule>
    <cfRule type="cellIs" dxfId="627" priority="80" operator="equal">
      <formula>"BAL"</formula>
    </cfRule>
    <cfRule type="cellIs" dxfId="626" priority="81" operator="equal">
      <formula>"OAK"</formula>
    </cfRule>
    <cfRule type="cellIs" dxfId="625" priority="82" operator="equal">
      <formula>"HOU"</formula>
    </cfRule>
    <cfRule type="cellIs" dxfId="624" priority="83" operator="equal">
      <formula>"TEN"</formula>
    </cfRule>
    <cfRule type="cellIs" dxfId="623" priority="84" operator="equal">
      <formula>"CHI"</formula>
    </cfRule>
    <cfRule type="cellIs" dxfId="622" priority="85" operator="equal">
      <formula>"DET"</formula>
    </cfRule>
    <cfRule type="cellIs" dxfId="621" priority="86" operator="equal">
      <formula>"ATL"</formula>
    </cfRule>
    <cfRule type="cellIs" dxfId="620" priority="87" operator="equal">
      <formula>"CAR"</formula>
    </cfRule>
    <cfRule type="cellIs" dxfId="619" priority="88" operator="equal">
      <formula>"IND"</formula>
    </cfRule>
    <cfRule type="cellIs" dxfId="618" priority="89" operator="equal">
      <formula>"JAX"</formula>
    </cfRule>
    <cfRule type="cellIs" dxfId="617" priority="90" operator="equal">
      <formula>"NYJ"</formula>
    </cfRule>
    <cfRule type="cellIs" dxfId="616" priority="91" operator="equal">
      <formula>"SEA"</formula>
    </cfRule>
    <cfRule type="cellIs" dxfId="615" priority="92" operator="equal">
      <formula>"NE"</formula>
    </cfRule>
    <cfRule type="cellIs" dxfId="614" priority="93" operator="equal">
      <formula>"BUF"</formula>
    </cfRule>
    <cfRule type="cellIs" dxfId="613" priority="94" operator="equal">
      <formula>"WAS"</formula>
    </cfRule>
    <cfRule type="cellIs" dxfId="612" priority="95" operator="equal">
      <formula>"CLE"</formula>
    </cfRule>
    <cfRule type="cellIs" dxfId="611" priority="96" operator="equal">
      <formula>"CIN"</formula>
    </cfRule>
    <cfRule type="cellIs" dxfId="610" priority="97" operator="equal">
      <formula>"MIA"</formula>
    </cfRule>
  </conditionalFormatting>
  <conditionalFormatting sqref="C25:P38">
    <cfRule type="cellIs" dxfId="609" priority="130" operator="equal">
      <formula>"PHI"</formula>
    </cfRule>
    <cfRule type="cellIs" dxfId="608" priority="131" operator="equal">
      <formula>"GB"</formula>
    </cfRule>
    <cfRule type="cellIs" dxfId="607" priority="132" operator="equal">
      <formula>"MIN"</formula>
    </cfRule>
    <cfRule type="cellIs" dxfId="606" priority="133" operator="equal">
      <formula>"NYG"</formula>
    </cfRule>
    <cfRule type="cellIs" dxfId="605" priority="134" operator="equal">
      <formula>"PIT"</formula>
    </cfRule>
    <cfRule type="cellIs" dxfId="604" priority="135" operator="equal">
      <formula>"KC"</formula>
    </cfRule>
    <cfRule type="cellIs" dxfId="603" priority="136" operator="equal">
      <formula>"ARI"</formula>
    </cfRule>
    <cfRule type="cellIs" dxfId="602" priority="137" operator="equal">
      <formula>"LA"</formula>
    </cfRule>
    <cfRule type="cellIs" dxfId="601" priority="138" operator="equal">
      <formula>"SD"</formula>
    </cfRule>
    <cfRule type="cellIs" dxfId="600" priority="139" operator="equal">
      <formula>"NO"</formula>
    </cfRule>
    <cfRule type="cellIs" dxfId="599" priority="140" operator="equal">
      <formula>"SF"</formula>
    </cfRule>
    <cfRule type="cellIs" dxfId="598" priority="141" operator="equal">
      <formula>"DAL"</formula>
    </cfRule>
    <cfRule type="cellIs" dxfId="597" priority="142" operator="equal">
      <formula>"TB"</formula>
    </cfRule>
    <cfRule type="cellIs" dxfId="596" priority="143" operator="equal">
      <formula>"DEN"</formula>
    </cfRule>
    <cfRule type="cellIs" dxfId="595" priority="144" operator="equal">
      <formula>"BAL"</formula>
    </cfRule>
    <cfRule type="cellIs" dxfId="594" priority="145" operator="equal">
      <formula>"OAK"</formula>
    </cfRule>
    <cfRule type="cellIs" dxfId="593" priority="146" operator="equal">
      <formula>"HOU"</formula>
    </cfRule>
    <cfRule type="cellIs" dxfId="592" priority="147" operator="equal">
      <formula>"TEN"</formula>
    </cfRule>
    <cfRule type="cellIs" dxfId="591" priority="148" operator="equal">
      <formula>"CHI"</formula>
    </cfRule>
    <cfRule type="cellIs" dxfId="590" priority="149" operator="equal">
      <formula>"DET"</formula>
    </cfRule>
    <cfRule type="cellIs" dxfId="589" priority="150" operator="equal">
      <formula>"ATL"</formula>
    </cfRule>
    <cfRule type="cellIs" dxfId="588" priority="151" operator="equal">
      <formula>"CAR"</formula>
    </cfRule>
    <cfRule type="cellIs" dxfId="587" priority="152" operator="equal">
      <formula>"IND"</formula>
    </cfRule>
    <cfRule type="cellIs" dxfId="586" priority="153" operator="equal">
      <formula>"JAX"</formula>
    </cfRule>
    <cfRule type="cellIs" dxfId="585" priority="154" operator="equal">
      <formula>"NYJ"</formula>
    </cfRule>
    <cfRule type="cellIs" dxfId="584" priority="155" operator="equal">
      <formula>"SEA"</formula>
    </cfRule>
    <cfRule type="cellIs" dxfId="583" priority="156" operator="equal">
      <formula>"NE"</formula>
    </cfRule>
    <cfRule type="cellIs" dxfId="582" priority="157" operator="equal">
      <formula>"BUF"</formula>
    </cfRule>
    <cfRule type="cellIs" dxfId="581" priority="158" operator="equal">
      <formula>"WAS"</formula>
    </cfRule>
    <cfRule type="cellIs" dxfId="580" priority="159" operator="equal">
      <formula>"CLE"</formula>
    </cfRule>
    <cfRule type="cellIs" dxfId="579" priority="160" operator="equal">
      <formula>"CIN"</formula>
    </cfRule>
    <cfRule type="cellIs" dxfId="578" priority="161" operator="equal">
      <formula>"MIA"</formula>
    </cfRule>
  </conditionalFormatting>
  <conditionalFormatting sqref="B25:B36">
    <cfRule type="cellIs" dxfId="577" priority="98" operator="equal">
      <formula>"PHI"</formula>
    </cfRule>
    <cfRule type="cellIs" dxfId="576" priority="99" operator="equal">
      <formula>"GB"</formula>
    </cfRule>
    <cfRule type="cellIs" dxfId="575" priority="100" operator="equal">
      <formula>"MIN"</formula>
    </cfRule>
    <cfRule type="cellIs" dxfId="574" priority="101" operator="equal">
      <formula>"NYG"</formula>
    </cfRule>
    <cfRule type="cellIs" dxfId="573" priority="102" operator="equal">
      <formula>"PIT"</formula>
    </cfRule>
    <cfRule type="cellIs" dxfId="572" priority="103" operator="equal">
      <formula>"KC"</formula>
    </cfRule>
    <cfRule type="cellIs" dxfId="571" priority="104" operator="equal">
      <formula>"ARI"</formula>
    </cfRule>
    <cfRule type="cellIs" dxfId="570" priority="105" operator="equal">
      <formula>"LA"</formula>
    </cfRule>
    <cfRule type="cellIs" dxfId="569" priority="106" operator="equal">
      <formula>"SD"</formula>
    </cfRule>
    <cfRule type="cellIs" dxfId="568" priority="107" operator="equal">
      <formula>"NO"</formula>
    </cfRule>
    <cfRule type="cellIs" dxfId="567" priority="108" operator="equal">
      <formula>"SF"</formula>
    </cfRule>
    <cfRule type="cellIs" dxfId="566" priority="109" operator="equal">
      <formula>"DAL"</formula>
    </cfRule>
    <cfRule type="cellIs" dxfId="565" priority="110" operator="equal">
      <formula>"TB"</formula>
    </cfRule>
    <cfRule type="cellIs" dxfId="564" priority="111" operator="equal">
      <formula>"DEN"</formula>
    </cfRule>
    <cfRule type="cellIs" dxfId="563" priority="112" operator="equal">
      <formula>"BAL"</formula>
    </cfRule>
    <cfRule type="cellIs" dxfId="562" priority="113" operator="equal">
      <formula>"OAK"</formula>
    </cfRule>
    <cfRule type="cellIs" dxfId="561" priority="114" operator="equal">
      <formula>"HOU"</formula>
    </cfRule>
    <cfRule type="cellIs" dxfId="560" priority="115" operator="equal">
      <formula>"TEN"</formula>
    </cfRule>
    <cfRule type="cellIs" dxfId="559" priority="116" operator="equal">
      <formula>"CHI"</formula>
    </cfRule>
    <cfRule type="cellIs" dxfId="558" priority="117" operator="equal">
      <formula>"DET"</formula>
    </cfRule>
    <cfRule type="cellIs" dxfId="557" priority="118" operator="equal">
      <formula>"ATL"</formula>
    </cfRule>
    <cfRule type="cellIs" dxfId="556" priority="119" operator="equal">
      <formula>"CAR"</formula>
    </cfRule>
    <cfRule type="cellIs" dxfId="555" priority="120" operator="equal">
      <formula>"IND"</formula>
    </cfRule>
    <cfRule type="cellIs" dxfId="554" priority="121" operator="equal">
      <formula>"JAX"</formula>
    </cfRule>
    <cfRule type="cellIs" dxfId="553" priority="122" operator="equal">
      <formula>"NYJ"</formula>
    </cfRule>
    <cfRule type="cellIs" dxfId="552" priority="123" operator="equal">
      <formula>"SEA"</formula>
    </cfRule>
    <cfRule type="cellIs" dxfId="551" priority="124" operator="equal">
      <formula>"NE"</formula>
    </cfRule>
    <cfRule type="cellIs" dxfId="550" priority="125" operator="equal">
      <formula>"BUF"</formula>
    </cfRule>
    <cfRule type="cellIs" dxfId="549" priority="126" operator="equal">
      <formula>"WAS"</formula>
    </cfRule>
    <cfRule type="cellIs" dxfId="548" priority="127" operator="equal">
      <formula>"CLE"</formula>
    </cfRule>
    <cfRule type="cellIs" dxfId="547" priority="128" operator="equal">
      <formula>"CIN"</formula>
    </cfRule>
    <cfRule type="cellIs" dxfId="546" priority="129" operator="equal">
      <formula>"MIA"</formula>
    </cfRule>
  </conditionalFormatting>
  <conditionalFormatting sqref="C25:P38">
    <cfRule type="colorScale" priority="162">
      <colorScale>
        <cfvo type="min"/>
        <cfvo type="max"/>
        <color rgb="FFFCFCFF"/>
        <color rgb="FF63BE7B"/>
      </colorScale>
    </cfRule>
  </conditionalFormatting>
  <conditionalFormatting sqref="Q25:R38">
    <cfRule type="colorScale" priority="65">
      <colorScale>
        <cfvo type="min"/>
        <cfvo type="max"/>
        <color rgb="FFFCFCFF"/>
        <color rgb="FF63BE7B"/>
      </colorScale>
    </cfRule>
  </conditionalFormatting>
  <conditionalFormatting sqref="S6:S19">
    <cfRule type="cellIs" dxfId="545" priority="1" operator="equal">
      <formula>"PHI"</formula>
    </cfRule>
    <cfRule type="cellIs" dxfId="544" priority="2" operator="equal">
      <formula>"GB"</formula>
    </cfRule>
    <cfRule type="cellIs" dxfId="543" priority="3" operator="equal">
      <formula>"MIN"</formula>
    </cfRule>
    <cfRule type="cellIs" dxfId="542" priority="4" operator="equal">
      <formula>"NYG"</formula>
    </cfRule>
    <cfRule type="cellIs" dxfId="541" priority="5" operator="equal">
      <formula>"PIT"</formula>
    </cfRule>
    <cfRule type="cellIs" dxfId="540" priority="6" operator="equal">
      <formula>"KC"</formula>
    </cfRule>
    <cfRule type="cellIs" dxfId="539" priority="7" operator="equal">
      <formula>"ARI"</formula>
    </cfRule>
    <cfRule type="cellIs" dxfId="538" priority="8" operator="equal">
      <formula>"LA"</formula>
    </cfRule>
    <cfRule type="cellIs" dxfId="537" priority="9" operator="equal">
      <formula>"SD"</formula>
    </cfRule>
    <cfRule type="cellIs" dxfId="536" priority="10" operator="equal">
      <formula>"NO"</formula>
    </cfRule>
    <cfRule type="cellIs" dxfId="535" priority="11" operator="equal">
      <formula>"SF"</formula>
    </cfRule>
    <cfRule type="cellIs" dxfId="534" priority="12" operator="equal">
      <formula>"DAL"</formula>
    </cfRule>
    <cfRule type="cellIs" dxfId="533" priority="13" operator="equal">
      <formula>"TB"</formula>
    </cfRule>
    <cfRule type="cellIs" dxfId="532" priority="14" operator="equal">
      <formula>"DEN"</formula>
    </cfRule>
    <cfRule type="cellIs" dxfId="531" priority="15" operator="equal">
      <formula>"BAL"</formula>
    </cfRule>
    <cfRule type="cellIs" dxfId="530" priority="16" operator="equal">
      <formula>"OAK"</formula>
    </cfRule>
    <cfRule type="cellIs" dxfId="529" priority="17" operator="equal">
      <formula>"HOU"</formula>
    </cfRule>
    <cfRule type="cellIs" dxfId="528" priority="18" operator="equal">
      <formula>"TEN"</formula>
    </cfRule>
    <cfRule type="cellIs" dxfId="527" priority="19" operator="equal">
      <formula>"CHI"</formula>
    </cfRule>
    <cfRule type="cellIs" dxfId="526" priority="20" operator="equal">
      <formula>"DET"</formula>
    </cfRule>
    <cfRule type="cellIs" dxfId="525" priority="21" operator="equal">
      <formula>"ATL"</formula>
    </cfRule>
    <cfRule type="cellIs" dxfId="524" priority="22" operator="equal">
      <formula>"CAR"</formula>
    </cfRule>
    <cfRule type="cellIs" dxfId="523" priority="23" operator="equal">
      <formula>"IND"</formula>
    </cfRule>
    <cfRule type="cellIs" dxfId="522" priority="24" operator="equal">
      <formula>"JAX"</formula>
    </cfRule>
    <cfRule type="cellIs" dxfId="521" priority="25" operator="equal">
      <formula>"NYJ"</formula>
    </cfRule>
    <cfRule type="cellIs" dxfId="520" priority="26" operator="equal">
      <formula>"SEA"</formula>
    </cfRule>
    <cfRule type="cellIs" dxfId="519" priority="27" operator="equal">
      <formula>"NE"</formula>
    </cfRule>
    <cfRule type="cellIs" dxfId="518" priority="28" operator="equal">
      <formula>"BUF"</formula>
    </cfRule>
    <cfRule type="cellIs" dxfId="517" priority="29" operator="equal">
      <formula>"WAS"</formula>
    </cfRule>
    <cfRule type="cellIs" dxfId="516" priority="30" operator="equal">
      <formula>"CLE"</formula>
    </cfRule>
    <cfRule type="cellIs" dxfId="515" priority="31" operator="equal">
      <formula>"CIN"</formula>
    </cfRule>
    <cfRule type="cellIs" dxfId="514" priority="32" operator="equal">
      <formula>"MIA"</formula>
    </cfRule>
  </conditionalFormatting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39"/>
  <sheetViews>
    <sheetView workbookViewId="0"/>
  </sheetViews>
  <sheetFormatPr defaultRowHeight="14.5" x14ac:dyDescent="0.35"/>
  <cols>
    <col min="1" max="1" width="4.08984375" style="41" customWidth="1"/>
    <col min="2" max="2" width="10.90625" style="41" bestFit="1" customWidth="1"/>
    <col min="3" max="3" width="8.6328125" style="41" bestFit="1" customWidth="1"/>
    <col min="4" max="4" width="8.81640625" style="41" bestFit="1" customWidth="1"/>
    <col min="5" max="5" width="8.08984375" style="41" bestFit="1" customWidth="1"/>
    <col min="6" max="6" width="9.08984375" style="41" bestFit="1" customWidth="1"/>
    <col min="7" max="7" width="8.1796875" style="41" bestFit="1" customWidth="1"/>
    <col min="8" max="8" width="8.81640625" style="41" bestFit="1" customWidth="1"/>
    <col min="9" max="9" width="8.26953125" style="41" bestFit="1" customWidth="1"/>
    <col min="10" max="10" width="9.81640625" style="41" bestFit="1" customWidth="1"/>
    <col min="11" max="11" width="8.6328125" style="41" bestFit="1" customWidth="1"/>
    <col min="12" max="12" width="8.36328125" style="41" bestFit="1" customWidth="1"/>
    <col min="13" max="13" width="8.26953125" style="41" bestFit="1" customWidth="1"/>
    <col min="14" max="14" width="10.08984375" style="41" bestFit="1" customWidth="1"/>
    <col min="15" max="15" width="7.453125" style="41" bestFit="1" customWidth="1"/>
    <col min="16" max="16" width="7" style="41" bestFit="1" customWidth="1"/>
    <col min="17" max="17" width="9.81640625" style="41" bestFit="1" customWidth="1"/>
    <col min="18" max="18" width="8.26953125" style="41" bestFit="1" customWidth="1"/>
    <col min="19" max="19" width="8.7265625" style="41" customWidth="1"/>
    <col min="20" max="20" width="6.54296875" style="41" customWidth="1"/>
    <col min="21" max="16384" width="8.7265625" style="41"/>
  </cols>
  <sheetData>
    <row r="1" spans="1:19" x14ac:dyDescent="0.35">
      <c r="A1" s="348" t="s">
        <v>371</v>
      </c>
      <c r="B1" s="348"/>
    </row>
    <row r="2" spans="1:19" x14ac:dyDescent="0.35">
      <c r="C2" s="348"/>
    </row>
    <row r="3" spans="1:19" ht="15" thickBot="1" x14ac:dyDescent="0.4">
      <c r="D3" s="69"/>
    </row>
    <row r="4" spans="1:19" ht="15.5" customHeight="1" thickTop="1" thickBot="1" x14ac:dyDescent="0.4">
      <c r="B4" s="11" t="s">
        <v>0</v>
      </c>
      <c r="C4" s="405" t="s">
        <v>353</v>
      </c>
      <c r="D4" s="398" t="s">
        <v>354</v>
      </c>
      <c r="E4" s="398" t="s">
        <v>355</v>
      </c>
      <c r="F4" s="398" t="s">
        <v>356</v>
      </c>
      <c r="G4" s="398" t="s">
        <v>357</v>
      </c>
      <c r="H4" s="398" t="s">
        <v>358</v>
      </c>
      <c r="I4" s="399" t="s">
        <v>367</v>
      </c>
      <c r="J4" s="398" t="s">
        <v>360</v>
      </c>
      <c r="K4" s="398" t="s">
        <v>361</v>
      </c>
      <c r="L4" s="398" t="s">
        <v>362</v>
      </c>
      <c r="M4" s="398" t="s">
        <v>363</v>
      </c>
      <c r="N4" s="398" t="s">
        <v>364</v>
      </c>
      <c r="O4" s="398" t="s">
        <v>348</v>
      </c>
      <c r="P4" s="398" t="s">
        <v>365</v>
      </c>
      <c r="Q4" s="398" t="s">
        <v>366</v>
      </c>
      <c r="R4" s="400" t="s">
        <v>359</v>
      </c>
      <c r="S4" s="411" t="s">
        <v>92</v>
      </c>
    </row>
    <row r="5" spans="1:19" ht="15.5" thickTop="1" thickBot="1" x14ac:dyDescent="0.4">
      <c r="B5" s="397" t="s">
        <v>1</v>
      </c>
      <c r="C5" s="401" t="s">
        <v>111</v>
      </c>
      <c r="D5" s="402" t="s">
        <v>377</v>
      </c>
      <c r="E5" s="402" t="s">
        <v>165</v>
      </c>
      <c r="F5" s="402" t="s">
        <v>25</v>
      </c>
      <c r="G5" s="402" t="s">
        <v>116</v>
      </c>
      <c r="H5" s="402" t="s">
        <v>165</v>
      </c>
      <c r="I5" s="403" t="s">
        <v>436</v>
      </c>
      <c r="J5" s="402" t="s">
        <v>20</v>
      </c>
      <c r="K5" s="402" t="s">
        <v>141</v>
      </c>
      <c r="L5" s="402" t="s">
        <v>435</v>
      </c>
      <c r="M5" s="402" t="s">
        <v>142</v>
      </c>
      <c r="N5" s="402" t="s">
        <v>200</v>
      </c>
      <c r="O5" s="402" t="s">
        <v>377</v>
      </c>
      <c r="P5" s="402" t="s">
        <v>24</v>
      </c>
      <c r="Q5" s="402" t="s">
        <v>20</v>
      </c>
      <c r="R5" s="404" t="s">
        <v>28</v>
      </c>
      <c r="S5" s="412"/>
    </row>
    <row r="6" spans="1:19" ht="15" thickTop="1" x14ac:dyDescent="0.35">
      <c r="B6" s="388" t="s">
        <v>3</v>
      </c>
      <c r="C6" s="304" t="s">
        <v>91</v>
      </c>
      <c r="D6" s="305" t="s">
        <v>65</v>
      </c>
      <c r="E6" s="305" t="s">
        <v>73</v>
      </c>
      <c r="F6" s="305" t="s">
        <v>87</v>
      </c>
      <c r="G6" s="305" t="s">
        <v>76</v>
      </c>
      <c r="H6" s="305" t="s">
        <v>90</v>
      </c>
      <c r="I6" s="305" t="s">
        <v>67</v>
      </c>
      <c r="J6" s="305" t="s">
        <v>120</v>
      </c>
      <c r="K6" s="305" t="s">
        <v>69</v>
      </c>
      <c r="L6" s="305" t="s">
        <v>89</v>
      </c>
      <c r="M6" s="305" t="s">
        <v>58</v>
      </c>
      <c r="N6" s="305" t="s">
        <v>71</v>
      </c>
      <c r="O6" s="305" t="s">
        <v>118</v>
      </c>
      <c r="P6" s="305" t="s">
        <v>60</v>
      </c>
      <c r="Q6" s="305" t="s">
        <v>34</v>
      </c>
      <c r="R6" s="311" t="s">
        <v>64</v>
      </c>
      <c r="S6" s="392">
        <f>SUM(C25:R25)</f>
        <v>12</v>
      </c>
    </row>
    <row r="7" spans="1:19" hidden="1" x14ac:dyDescent="0.35">
      <c r="B7" s="389" t="s">
        <v>29</v>
      </c>
      <c r="C7" s="300" t="s">
        <v>166</v>
      </c>
      <c r="D7" s="380" t="s">
        <v>166</v>
      </c>
      <c r="E7" s="380" t="s">
        <v>166</v>
      </c>
      <c r="F7" s="380" t="s">
        <v>166</v>
      </c>
      <c r="G7" s="380" t="s">
        <v>166</v>
      </c>
      <c r="H7" s="380" t="s">
        <v>166</v>
      </c>
      <c r="I7" s="380" t="s">
        <v>166</v>
      </c>
      <c r="J7" s="380" t="s">
        <v>166</v>
      </c>
      <c r="K7" s="380" t="s">
        <v>166</v>
      </c>
      <c r="L7" s="380" t="s">
        <v>166</v>
      </c>
      <c r="M7" s="380" t="s">
        <v>166</v>
      </c>
      <c r="N7" s="380" t="s">
        <v>166</v>
      </c>
      <c r="O7" s="380" t="s">
        <v>166</v>
      </c>
      <c r="P7" s="380" t="s">
        <v>166</v>
      </c>
      <c r="Q7" s="380" t="s">
        <v>166</v>
      </c>
      <c r="R7" s="312" t="s">
        <v>166</v>
      </c>
      <c r="S7" s="393">
        <f t="shared" ref="S7:S19" si="0">SUM(C26:R26)</f>
        <v>0</v>
      </c>
    </row>
    <row r="8" spans="1:19" x14ac:dyDescent="0.35">
      <c r="B8" s="389" t="s">
        <v>30</v>
      </c>
      <c r="C8" s="300" t="s">
        <v>91</v>
      </c>
      <c r="D8" s="380" t="s">
        <v>65</v>
      </c>
      <c r="E8" s="380" t="s">
        <v>33</v>
      </c>
      <c r="F8" s="380" t="s">
        <v>87</v>
      </c>
      <c r="G8" s="380" t="s">
        <v>76</v>
      </c>
      <c r="H8" s="380" t="s">
        <v>75</v>
      </c>
      <c r="I8" s="380" t="s">
        <v>67</v>
      </c>
      <c r="J8" s="380" t="s">
        <v>66</v>
      </c>
      <c r="K8" s="380" t="s">
        <v>69</v>
      </c>
      <c r="L8" s="380" t="s">
        <v>89</v>
      </c>
      <c r="M8" s="380" t="s">
        <v>58</v>
      </c>
      <c r="N8" s="380" t="s">
        <v>71</v>
      </c>
      <c r="O8" s="380" t="s">
        <v>77</v>
      </c>
      <c r="P8" s="380" t="s">
        <v>60</v>
      </c>
      <c r="Q8" s="380" t="s">
        <v>74</v>
      </c>
      <c r="R8" s="312" t="s">
        <v>64</v>
      </c>
      <c r="S8" s="394">
        <f t="shared" si="0"/>
        <v>9</v>
      </c>
    </row>
    <row r="9" spans="1:19" hidden="1" x14ac:dyDescent="0.35">
      <c r="B9" s="389" t="s">
        <v>31</v>
      </c>
      <c r="C9" s="300" t="s">
        <v>166</v>
      </c>
      <c r="D9" s="380" t="s">
        <v>166</v>
      </c>
      <c r="E9" s="380" t="s">
        <v>166</v>
      </c>
      <c r="F9" s="380" t="s">
        <v>166</v>
      </c>
      <c r="G9" s="380" t="s">
        <v>166</v>
      </c>
      <c r="H9" s="380" t="s">
        <v>166</v>
      </c>
      <c r="I9" s="380" t="s">
        <v>166</v>
      </c>
      <c r="J9" s="380" t="s">
        <v>166</v>
      </c>
      <c r="K9" s="380" t="s">
        <v>166</v>
      </c>
      <c r="L9" s="380" t="s">
        <v>166</v>
      </c>
      <c r="M9" s="380" t="s">
        <v>166</v>
      </c>
      <c r="N9" s="380" t="s">
        <v>166</v>
      </c>
      <c r="O9" s="380" t="s">
        <v>166</v>
      </c>
      <c r="P9" s="380" t="s">
        <v>166</v>
      </c>
      <c r="Q9" s="380" t="s">
        <v>166</v>
      </c>
      <c r="R9" s="312" t="s">
        <v>166</v>
      </c>
      <c r="S9" s="393">
        <f t="shared" si="0"/>
        <v>0</v>
      </c>
    </row>
    <row r="10" spans="1:19" x14ac:dyDescent="0.35">
      <c r="B10" s="389" t="s">
        <v>32</v>
      </c>
      <c r="C10" s="300" t="s">
        <v>91</v>
      </c>
      <c r="D10" s="380" t="s">
        <v>65</v>
      </c>
      <c r="E10" s="380" t="s">
        <v>73</v>
      </c>
      <c r="F10" s="380" t="s">
        <v>87</v>
      </c>
      <c r="G10" s="380" t="s">
        <v>76</v>
      </c>
      <c r="H10" s="380" t="s">
        <v>75</v>
      </c>
      <c r="I10" s="380" t="s">
        <v>67</v>
      </c>
      <c r="J10" s="380" t="s">
        <v>66</v>
      </c>
      <c r="K10" s="380" t="s">
        <v>69</v>
      </c>
      <c r="L10" s="380" t="s">
        <v>89</v>
      </c>
      <c r="M10" s="380" t="s">
        <v>58</v>
      </c>
      <c r="N10" s="380" t="s">
        <v>71</v>
      </c>
      <c r="O10" s="380" t="s">
        <v>118</v>
      </c>
      <c r="P10" s="380" t="s">
        <v>60</v>
      </c>
      <c r="Q10" s="380" t="s">
        <v>34</v>
      </c>
      <c r="R10" s="312" t="s">
        <v>64</v>
      </c>
      <c r="S10" s="394">
        <f t="shared" si="0"/>
        <v>12</v>
      </c>
    </row>
    <row r="11" spans="1:19" hidden="1" x14ac:dyDescent="0.35">
      <c r="B11" s="389" t="s">
        <v>35</v>
      </c>
      <c r="C11" s="300" t="s">
        <v>166</v>
      </c>
      <c r="D11" s="380" t="s">
        <v>166</v>
      </c>
      <c r="E11" s="380" t="s">
        <v>166</v>
      </c>
      <c r="F11" s="380" t="s">
        <v>166</v>
      </c>
      <c r="G11" s="380" t="s">
        <v>166</v>
      </c>
      <c r="H11" s="380" t="s">
        <v>166</v>
      </c>
      <c r="I11" s="380" t="s">
        <v>166</v>
      </c>
      <c r="J11" s="380" t="s">
        <v>166</v>
      </c>
      <c r="K11" s="380" t="s">
        <v>166</v>
      </c>
      <c r="L11" s="380" t="s">
        <v>166</v>
      </c>
      <c r="M11" s="380" t="s">
        <v>166</v>
      </c>
      <c r="N11" s="380" t="s">
        <v>166</v>
      </c>
      <c r="O11" s="380" t="s">
        <v>166</v>
      </c>
      <c r="P11" s="380" t="s">
        <v>166</v>
      </c>
      <c r="Q11" s="380" t="s">
        <v>166</v>
      </c>
      <c r="R11" s="312" t="s">
        <v>166</v>
      </c>
      <c r="S11" s="393">
        <f t="shared" si="0"/>
        <v>0</v>
      </c>
    </row>
    <row r="12" spans="1:19" x14ac:dyDescent="0.35">
      <c r="B12" s="390" t="s">
        <v>36</v>
      </c>
      <c r="C12" s="300" t="s">
        <v>91</v>
      </c>
      <c r="D12" s="380" t="s">
        <v>65</v>
      </c>
      <c r="E12" s="380" t="s">
        <v>73</v>
      </c>
      <c r="F12" s="380" t="s">
        <v>87</v>
      </c>
      <c r="G12" s="380" t="s">
        <v>76</v>
      </c>
      <c r="H12" s="380" t="s">
        <v>75</v>
      </c>
      <c r="I12" s="380" t="s">
        <v>67</v>
      </c>
      <c r="J12" s="380" t="s">
        <v>120</v>
      </c>
      <c r="K12" s="380" t="s">
        <v>69</v>
      </c>
      <c r="L12" s="380" t="s">
        <v>89</v>
      </c>
      <c r="M12" s="380" t="s">
        <v>58</v>
      </c>
      <c r="N12" s="380" t="s">
        <v>71</v>
      </c>
      <c r="O12" s="380" t="s">
        <v>118</v>
      </c>
      <c r="P12" s="380" t="s">
        <v>60</v>
      </c>
      <c r="Q12" s="380" t="s">
        <v>34</v>
      </c>
      <c r="R12" s="312" t="s">
        <v>64</v>
      </c>
      <c r="S12" s="394">
        <f t="shared" si="0"/>
        <v>13</v>
      </c>
    </row>
    <row r="13" spans="1:19" hidden="1" x14ac:dyDescent="0.35">
      <c r="B13" s="390" t="s">
        <v>37</v>
      </c>
      <c r="C13" s="300" t="s">
        <v>166</v>
      </c>
      <c r="D13" s="380" t="s">
        <v>166</v>
      </c>
      <c r="E13" s="380" t="s">
        <v>166</v>
      </c>
      <c r="F13" s="380" t="s">
        <v>166</v>
      </c>
      <c r="G13" s="380" t="s">
        <v>166</v>
      </c>
      <c r="H13" s="380" t="s">
        <v>166</v>
      </c>
      <c r="I13" s="380" t="s">
        <v>166</v>
      </c>
      <c r="J13" s="380" t="s">
        <v>166</v>
      </c>
      <c r="K13" s="380" t="s">
        <v>166</v>
      </c>
      <c r="L13" s="380" t="s">
        <v>166</v>
      </c>
      <c r="M13" s="380" t="s">
        <v>166</v>
      </c>
      <c r="N13" s="380" t="s">
        <v>166</v>
      </c>
      <c r="O13" s="380" t="s">
        <v>166</v>
      </c>
      <c r="P13" s="380" t="s">
        <v>166</v>
      </c>
      <c r="Q13" s="380" t="s">
        <v>166</v>
      </c>
      <c r="R13" s="312" t="s">
        <v>117</v>
      </c>
      <c r="S13" s="393">
        <f t="shared" si="0"/>
        <v>0</v>
      </c>
    </row>
    <row r="14" spans="1:19" hidden="1" x14ac:dyDescent="0.35">
      <c r="B14" s="390" t="s">
        <v>57</v>
      </c>
      <c r="C14" s="300" t="s">
        <v>166</v>
      </c>
      <c r="D14" s="380" t="s">
        <v>166</v>
      </c>
      <c r="E14" s="380" t="s">
        <v>166</v>
      </c>
      <c r="F14" s="380" t="s">
        <v>166</v>
      </c>
      <c r="G14" s="380" t="s">
        <v>166</v>
      </c>
      <c r="H14" s="380" t="s">
        <v>166</v>
      </c>
      <c r="I14" s="380" t="s">
        <v>166</v>
      </c>
      <c r="J14" s="380" t="s">
        <v>166</v>
      </c>
      <c r="K14" s="380" t="s">
        <v>166</v>
      </c>
      <c r="L14" s="380" t="s">
        <v>166</v>
      </c>
      <c r="M14" s="380" t="s">
        <v>166</v>
      </c>
      <c r="N14" s="380" t="s">
        <v>166</v>
      </c>
      <c r="O14" s="380" t="s">
        <v>166</v>
      </c>
      <c r="P14" s="380" t="s">
        <v>166</v>
      </c>
      <c r="Q14" s="380" t="s">
        <v>166</v>
      </c>
      <c r="R14" s="312" t="s">
        <v>166</v>
      </c>
      <c r="S14" s="394">
        <f t="shared" si="0"/>
        <v>0</v>
      </c>
    </row>
    <row r="15" spans="1:19" s="185" customFormat="1" x14ac:dyDescent="0.35">
      <c r="B15" s="390" t="s">
        <v>379</v>
      </c>
      <c r="C15" s="300" t="s">
        <v>62</v>
      </c>
      <c r="D15" s="380" t="s">
        <v>65</v>
      </c>
      <c r="E15" s="380" t="s">
        <v>73</v>
      </c>
      <c r="F15" s="380" t="s">
        <v>87</v>
      </c>
      <c r="G15" s="380" t="s">
        <v>76</v>
      </c>
      <c r="H15" s="380" t="s">
        <v>75</v>
      </c>
      <c r="I15" s="380" t="s">
        <v>67</v>
      </c>
      <c r="J15" s="380" t="s">
        <v>66</v>
      </c>
      <c r="K15" s="380" t="s">
        <v>69</v>
      </c>
      <c r="L15" s="380" t="s">
        <v>89</v>
      </c>
      <c r="M15" s="380" t="s">
        <v>58</v>
      </c>
      <c r="N15" s="380" t="s">
        <v>71</v>
      </c>
      <c r="O15" s="380" t="s">
        <v>118</v>
      </c>
      <c r="P15" s="380" t="s">
        <v>60</v>
      </c>
      <c r="Q15" s="380" t="s">
        <v>74</v>
      </c>
      <c r="R15" s="312" t="s">
        <v>117</v>
      </c>
      <c r="S15" s="393">
        <f t="shared" si="0"/>
        <v>11</v>
      </c>
    </row>
    <row r="16" spans="1:19" s="185" customFormat="1" x14ac:dyDescent="0.35">
      <c r="B16" s="390" t="s">
        <v>380</v>
      </c>
      <c r="C16" s="300" t="s">
        <v>438</v>
      </c>
      <c r="D16" s="380" t="s">
        <v>202</v>
      </c>
      <c r="E16" s="380" t="s">
        <v>437</v>
      </c>
      <c r="F16" s="380" t="s">
        <v>439</v>
      </c>
      <c r="G16" s="380" t="s">
        <v>408</v>
      </c>
      <c r="H16" s="380" t="s">
        <v>440</v>
      </c>
      <c r="I16" s="380" t="s">
        <v>413</v>
      </c>
      <c r="J16" s="380" t="s">
        <v>120</v>
      </c>
      <c r="K16" s="380" t="s">
        <v>441</v>
      </c>
      <c r="L16" s="380" t="s">
        <v>415</v>
      </c>
      <c r="M16" s="380" t="s">
        <v>409</v>
      </c>
      <c r="N16" s="380" t="s">
        <v>442</v>
      </c>
      <c r="O16" s="380" t="s">
        <v>443</v>
      </c>
      <c r="P16" s="380" t="s">
        <v>444</v>
      </c>
      <c r="Q16" s="380" t="s">
        <v>414</v>
      </c>
      <c r="R16" s="312" t="s">
        <v>416</v>
      </c>
      <c r="S16" s="394">
        <f t="shared" si="0"/>
        <v>13</v>
      </c>
    </row>
    <row r="17" spans="2:20" s="185" customFormat="1" x14ac:dyDescent="0.35">
      <c r="B17" s="390" t="s">
        <v>381</v>
      </c>
      <c r="C17" s="300" t="s">
        <v>403</v>
      </c>
      <c r="D17" s="380" t="s">
        <v>79</v>
      </c>
      <c r="E17" s="380" t="s">
        <v>73</v>
      </c>
      <c r="F17" s="380" t="s">
        <v>87</v>
      </c>
      <c r="G17" s="380" t="s">
        <v>76</v>
      </c>
      <c r="H17" s="380" t="s">
        <v>75</v>
      </c>
      <c r="I17" s="380" t="s">
        <v>67</v>
      </c>
      <c r="J17" s="380" t="s">
        <v>120</v>
      </c>
      <c r="K17" s="380" t="s">
        <v>69</v>
      </c>
      <c r="L17" s="380" t="s">
        <v>89</v>
      </c>
      <c r="M17" s="380" t="s">
        <v>58</v>
      </c>
      <c r="N17" s="380" t="s">
        <v>71</v>
      </c>
      <c r="O17" s="380" t="s">
        <v>118</v>
      </c>
      <c r="P17" s="380" t="s">
        <v>60</v>
      </c>
      <c r="Q17" s="380" t="s">
        <v>74</v>
      </c>
      <c r="R17" s="312" t="s">
        <v>64</v>
      </c>
      <c r="S17" s="393">
        <f t="shared" si="0"/>
        <v>14</v>
      </c>
      <c r="T17" s="416">
        <v>5</v>
      </c>
    </row>
    <row r="18" spans="2:20" s="185" customFormat="1" x14ac:dyDescent="0.35">
      <c r="B18" s="390" t="s">
        <v>387</v>
      </c>
      <c r="C18" s="300" t="s">
        <v>91</v>
      </c>
      <c r="D18" s="380" t="s">
        <v>65</v>
      </c>
      <c r="E18" s="380" t="s">
        <v>73</v>
      </c>
      <c r="F18" s="380" t="s">
        <v>87</v>
      </c>
      <c r="G18" s="380" t="s">
        <v>76</v>
      </c>
      <c r="H18" s="380" t="s">
        <v>90</v>
      </c>
      <c r="I18" s="380" t="s">
        <v>67</v>
      </c>
      <c r="J18" s="380" t="s">
        <v>66</v>
      </c>
      <c r="K18" s="380" t="s">
        <v>69</v>
      </c>
      <c r="L18" s="380" t="s">
        <v>89</v>
      </c>
      <c r="M18" s="380" t="s">
        <v>58</v>
      </c>
      <c r="N18" s="380" t="s">
        <v>68</v>
      </c>
      <c r="O18" s="380" t="s">
        <v>118</v>
      </c>
      <c r="P18" s="380" t="s">
        <v>60</v>
      </c>
      <c r="Q18" s="380" t="s">
        <v>74</v>
      </c>
      <c r="R18" s="312" t="s">
        <v>64</v>
      </c>
      <c r="S18" s="394">
        <f t="shared" si="0"/>
        <v>11</v>
      </c>
    </row>
    <row r="19" spans="2:20" s="185" customFormat="1" ht="15" thickBot="1" x14ac:dyDescent="0.4">
      <c r="B19" s="391" t="s">
        <v>389</v>
      </c>
      <c r="C19" s="387" t="s">
        <v>91</v>
      </c>
      <c r="D19" s="376" t="s">
        <v>65</v>
      </c>
      <c r="E19" s="376" t="s">
        <v>73</v>
      </c>
      <c r="F19" s="376" t="s">
        <v>87</v>
      </c>
      <c r="G19" s="376" t="s">
        <v>76</v>
      </c>
      <c r="H19" s="376" t="s">
        <v>75</v>
      </c>
      <c r="I19" s="376" t="s">
        <v>67</v>
      </c>
      <c r="J19" s="376" t="s">
        <v>66</v>
      </c>
      <c r="K19" s="376" t="s">
        <v>69</v>
      </c>
      <c r="L19" s="376" t="s">
        <v>89</v>
      </c>
      <c r="M19" s="376" t="s">
        <v>58</v>
      </c>
      <c r="N19" s="376" t="s">
        <v>71</v>
      </c>
      <c r="O19" s="376" t="s">
        <v>118</v>
      </c>
      <c r="P19" s="376" t="s">
        <v>60</v>
      </c>
      <c r="Q19" s="376" t="s">
        <v>34</v>
      </c>
      <c r="R19" s="396" t="s">
        <v>64</v>
      </c>
      <c r="S19" s="395">
        <f t="shared" si="0"/>
        <v>12</v>
      </c>
    </row>
    <row r="20" spans="2:20" ht="15.5" thickTop="1" thickBot="1" x14ac:dyDescent="0.4">
      <c r="B20" s="78" t="s">
        <v>183</v>
      </c>
      <c r="C20" s="181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7"/>
    </row>
    <row r="21" spans="2:20" ht="15" thickTop="1" x14ac:dyDescent="0.35"/>
    <row r="22" spans="2:20" ht="15" thickBot="1" x14ac:dyDescent="0.4"/>
    <row r="23" spans="2:20" ht="15.5" thickTop="1" thickBot="1" x14ac:dyDescent="0.4">
      <c r="B23" s="54" t="s">
        <v>0</v>
      </c>
      <c r="C23" s="86" t="s">
        <v>353</v>
      </c>
      <c r="D23" s="86" t="s">
        <v>354</v>
      </c>
      <c r="E23" s="86" t="s">
        <v>355</v>
      </c>
      <c r="F23" s="86" t="s">
        <v>356</v>
      </c>
      <c r="G23" s="86" t="s">
        <v>357</v>
      </c>
      <c r="H23" s="86" t="s">
        <v>358</v>
      </c>
      <c r="I23" s="350" t="s">
        <v>367</v>
      </c>
      <c r="J23" s="86" t="s">
        <v>360</v>
      </c>
      <c r="K23" s="86" t="s">
        <v>361</v>
      </c>
      <c r="L23" s="86" t="s">
        <v>362</v>
      </c>
      <c r="M23" s="86" t="s">
        <v>363</v>
      </c>
      <c r="N23" s="86" t="s">
        <v>364</v>
      </c>
      <c r="O23" s="86" t="s">
        <v>348</v>
      </c>
      <c r="P23" s="86" t="s">
        <v>365</v>
      </c>
      <c r="Q23" s="86" t="s">
        <v>366</v>
      </c>
      <c r="R23" s="91" t="s">
        <v>359</v>
      </c>
    </row>
    <row r="24" spans="2:20" ht="15.5" thickTop="1" thickBot="1" x14ac:dyDescent="0.4">
      <c r="B24" s="49" t="s">
        <v>1</v>
      </c>
      <c r="C24" s="256" t="s">
        <v>111</v>
      </c>
      <c r="D24" s="256" t="s">
        <v>377</v>
      </c>
      <c r="E24" s="256" t="s">
        <v>165</v>
      </c>
      <c r="F24" s="256" t="s">
        <v>25</v>
      </c>
      <c r="G24" s="256" t="s">
        <v>116</v>
      </c>
      <c r="H24" s="256" t="s">
        <v>165</v>
      </c>
      <c r="I24" s="256" t="s">
        <v>436</v>
      </c>
      <c r="J24" s="256" t="s">
        <v>20</v>
      </c>
      <c r="K24" s="256" t="s">
        <v>141</v>
      </c>
      <c r="L24" s="256" t="s">
        <v>435</v>
      </c>
      <c r="M24" s="256" t="s">
        <v>142</v>
      </c>
      <c r="N24" s="256" t="s">
        <v>200</v>
      </c>
      <c r="O24" s="256" t="s">
        <v>377</v>
      </c>
      <c r="P24" s="256" t="s">
        <v>24</v>
      </c>
      <c r="Q24" s="256" t="s">
        <v>20</v>
      </c>
      <c r="R24" s="257" t="s">
        <v>28</v>
      </c>
    </row>
    <row r="25" spans="2:20" ht="15" thickTop="1" x14ac:dyDescent="0.35">
      <c r="B25" s="176" t="s">
        <v>3</v>
      </c>
      <c r="C25" s="222" t="str">
        <f>IF(C6="cin",1,"-")</f>
        <v>-</v>
      </c>
      <c r="D25" s="202" t="str">
        <f>IF(D6="nyj",1,"-")</f>
        <v>-</v>
      </c>
      <c r="E25" s="202">
        <f>IF(E6="tb",1,"-")</f>
        <v>1</v>
      </c>
      <c r="F25" s="202">
        <f>IF(F6="min",1,"-")</f>
        <v>1</v>
      </c>
      <c r="G25" s="202">
        <f>IF(G6="pit",1,"-")</f>
        <v>1</v>
      </c>
      <c r="H25" s="202" t="str">
        <f>IF(H6="phi",1,"-")</f>
        <v>-</v>
      </c>
      <c r="I25" s="202">
        <f>IF(I6="sea",1,"-")</f>
        <v>1</v>
      </c>
      <c r="J25" s="202">
        <f>IF(J6="ten",1,"-")</f>
        <v>1</v>
      </c>
      <c r="K25" s="202">
        <f>IF(K6="ind",1,"-")</f>
        <v>1</v>
      </c>
      <c r="L25" s="202">
        <f>IF(L6="ne",1,"-")</f>
        <v>1</v>
      </c>
      <c r="M25" s="202">
        <f>IF(M6="atl",1,"-")</f>
        <v>1</v>
      </c>
      <c r="N25" s="202" t="str">
        <f>IF(N6="nyg",1,"-")</f>
        <v>-</v>
      </c>
      <c r="O25" s="202">
        <f>IF(O6="ari",1,"-")</f>
        <v>1</v>
      </c>
      <c r="P25" s="202">
        <f>IF(P6="kc",1,"-")</f>
        <v>1</v>
      </c>
      <c r="Q25" s="202">
        <f>IF(Q6="den",1,"-")</f>
        <v>1</v>
      </c>
      <c r="R25" s="203">
        <f>IF(R6="gb",1,"-")</f>
        <v>1</v>
      </c>
    </row>
    <row r="26" spans="2:20" x14ac:dyDescent="0.35">
      <c r="B26" s="197" t="s">
        <v>29</v>
      </c>
      <c r="C26" s="180" t="str">
        <f t="shared" ref="C26:C38" si="1">IF(C7="cin",1,"-")</f>
        <v>-</v>
      </c>
      <c r="D26" s="180" t="str">
        <f t="shared" ref="D26:D38" si="2">IF(D7="nyj",1,"-")</f>
        <v>-</v>
      </c>
      <c r="E26" s="180" t="str">
        <f t="shared" ref="E26:E38" si="3">IF(E7="tb",1,"-")</f>
        <v>-</v>
      </c>
      <c r="F26" s="180" t="str">
        <f t="shared" ref="F26:F38" si="4">IF(F7="min",1,"-")</f>
        <v>-</v>
      </c>
      <c r="G26" s="180" t="str">
        <f t="shared" ref="G26:G38" si="5">IF(G7="pit",1,"-")</f>
        <v>-</v>
      </c>
      <c r="H26" s="180" t="str">
        <f t="shared" ref="H26:H38" si="6">IF(H7="phi",1,"-")</f>
        <v>-</v>
      </c>
      <c r="I26" s="180" t="str">
        <f t="shared" ref="I26:I38" si="7">IF(I7="sea",1,"-")</f>
        <v>-</v>
      </c>
      <c r="J26" s="180" t="str">
        <f t="shared" ref="J26:J38" si="8">IF(J7="ten",1,"-")</f>
        <v>-</v>
      </c>
      <c r="K26" s="180" t="str">
        <f t="shared" ref="K26:K38" si="9">IF(K7="ind",1,"-")</f>
        <v>-</v>
      </c>
      <c r="L26" s="180" t="str">
        <f t="shared" ref="L26:L38" si="10">IF(L7="ne",1,"-")</f>
        <v>-</v>
      </c>
      <c r="M26" s="180" t="str">
        <f t="shared" ref="M26:M38" si="11">IF(M7="atl",1,"-")</f>
        <v>-</v>
      </c>
      <c r="N26" s="180" t="str">
        <f t="shared" ref="N26:N38" si="12">IF(N7="nyg",1,"-")</f>
        <v>-</v>
      </c>
      <c r="O26" s="180" t="str">
        <f t="shared" ref="O26:O38" si="13">IF(O7="ari",1,"-")</f>
        <v>-</v>
      </c>
      <c r="P26" s="180" t="str">
        <f t="shared" ref="P26:P38" si="14">IF(P7="kc",1,"-")</f>
        <v>-</v>
      </c>
      <c r="Q26" s="180" t="str">
        <f t="shared" ref="Q26:Q38" si="15">IF(Q7="den",1,"-")</f>
        <v>-</v>
      </c>
      <c r="R26" s="208" t="str">
        <f t="shared" ref="R26:R38" si="16">IF(R7="gb",1,"-")</f>
        <v>-</v>
      </c>
    </row>
    <row r="27" spans="2:20" x14ac:dyDescent="0.35">
      <c r="B27" s="196" t="s">
        <v>30</v>
      </c>
      <c r="C27" s="223" t="str">
        <f t="shared" si="1"/>
        <v>-</v>
      </c>
      <c r="D27" s="199" t="str">
        <f t="shared" si="2"/>
        <v>-</v>
      </c>
      <c r="E27" s="199" t="str">
        <f t="shared" si="3"/>
        <v>-</v>
      </c>
      <c r="F27" s="199">
        <f t="shared" si="4"/>
        <v>1</v>
      </c>
      <c r="G27" s="199">
        <f t="shared" si="5"/>
        <v>1</v>
      </c>
      <c r="H27" s="199">
        <f t="shared" si="6"/>
        <v>1</v>
      </c>
      <c r="I27" s="199">
        <f t="shared" si="7"/>
        <v>1</v>
      </c>
      <c r="J27" s="199" t="str">
        <f t="shared" si="8"/>
        <v>-</v>
      </c>
      <c r="K27" s="199">
        <f t="shared" si="9"/>
        <v>1</v>
      </c>
      <c r="L27" s="199">
        <f t="shared" si="10"/>
        <v>1</v>
      </c>
      <c r="M27" s="199">
        <f t="shared" si="11"/>
        <v>1</v>
      </c>
      <c r="N27" s="199" t="str">
        <f t="shared" si="12"/>
        <v>-</v>
      </c>
      <c r="O27" s="199" t="str">
        <f t="shared" si="13"/>
        <v>-</v>
      </c>
      <c r="P27" s="199">
        <f t="shared" si="14"/>
        <v>1</v>
      </c>
      <c r="Q27" s="199" t="str">
        <f t="shared" si="15"/>
        <v>-</v>
      </c>
      <c r="R27" s="201">
        <f t="shared" si="16"/>
        <v>1</v>
      </c>
    </row>
    <row r="28" spans="2:20" x14ac:dyDescent="0.35">
      <c r="B28" s="197" t="s">
        <v>31</v>
      </c>
      <c r="C28" s="180" t="str">
        <f t="shared" si="1"/>
        <v>-</v>
      </c>
      <c r="D28" s="180" t="str">
        <f t="shared" si="2"/>
        <v>-</v>
      </c>
      <c r="E28" s="180" t="str">
        <f t="shared" si="3"/>
        <v>-</v>
      </c>
      <c r="F28" s="180" t="str">
        <f t="shared" si="4"/>
        <v>-</v>
      </c>
      <c r="G28" s="180" t="str">
        <f t="shared" si="5"/>
        <v>-</v>
      </c>
      <c r="H28" s="180" t="str">
        <f t="shared" si="6"/>
        <v>-</v>
      </c>
      <c r="I28" s="180" t="str">
        <f t="shared" si="7"/>
        <v>-</v>
      </c>
      <c r="J28" s="180" t="str">
        <f t="shared" si="8"/>
        <v>-</v>
      </c>
      <c r="K28" s="180" t="str">
        <f t="shared" si="9"/>
        <v>-</v>
      </c>
      <c r="L28" s="180" t="str">
        <f t="shared" si="10"/>
        <v>-</v>
      </c>
      <c r="M28" s="180" t="str">
        <f t="shared" si="11"/>
        <v>-</v>
      </c>
      <c r="N28" s="180" t="str">
        <f t="shared" si="12"/>
        <v>-</v>
      </c>
      <c r="O28" s="180" t="str">
        <f t="shared" si="13"/>
        <v>-</v>
      </c>
      <c r="P28" s="180" t="str">
        <f t="shared" si="14"/>
        <v>-</v>
      </c>
      <c r="Q28" s="180" t="str">
        <f t="shared" si="15"/>
        <v>-</v>
      </c>
      <c r="R28" s="208" t="str">
        <f t="shared" si="16"/>
        <v>-</v>
      </c>
    </row>
    <row r="29" spans="2:20" x14ac:dyDescent="0.35">
      <c r="B29" s="196" t="s">
        <v>32</v>
      </c>
      <c r="C29" s="223" t="str">
        <f t="shared" si="1"/>
        <v>-</v>
      </c>
      <c r="D29" s="199" t="str">
        <f t="shared" si="2"/>
        <v>-</v>
      </c>
      <c r="E29" s="199">
        <f t="shared" si="3"/>
        <v>1</v>
      </c>
      <c r="F29" s="199">
        <f t="shared" si="4"/>
        <v>1</v>
      </c>
      <c r="G29" s="199">
        <f t="shared" si="5"/>
        <v>1</v>
      </c>
      <c r="H29" s="199">
        <f t="shared" si="6"/>
        <v>1</v>
      </c>
      <c r="I29" s="199">
        <f t="shared" si="7"/>
        <v>1</v>
      </c>
      <c r="J29" s="199" t="str">
        <f t="shared" si="8"/>
        <v>-</v>
      </c>
      <c r="K29" s="199">
        <f t="shared" si="9"/>
        <v>1</v>
      </c>
      <c r="L29" s="199">
        <f t="shared" si="10"/>
        <v>1</v>
      </c>
      <c r="M29" s="199">
        <f t="shared" si="11"/>
        <v>1</v>
      </c>
      <c r="N29" s="199" t="str">
        <f t="shared" si="12"/>
        <v>-</v>
      </c>
      <c r="O29" s="199">
        <f t="shared" si="13"/>
        <v>1</v>
      </c>
      <c r="P29" s="199">
        <f t="shared" si="14"/>
        <v>1</v>
      </c>
      <c r="Q29" s="199">
        <f t="shared" si="15"/>
        <v>1</v>
      </c>
      <c r="R29" s="201">
        <f t="shared" si="16"/>
        <v>1</v>
      </c>
    </row>
    <row r="30" spans="2:20" x14ac:dyDescent="0.35">
      <c r="B30" s="197" t="s">
        <v>35</v>
      </c>
      <c r="C30" s="180" t="str">
        <f t="shared" si="1"/>
        <v>-</v>
      </c>
      <c r="D30" s="180" t="str">
        <f t="shared" si="2"/>
        <v>-</v>
      </c>
      <c r="E30" s="180" t="str">
        <f t="shared" si="3"/>
        <v>-</v>
      </c>
      <c r="F30" s="180" t="str">
        <f t="shared" si="4"/>
        <v>-</v>
      </c>
      <c r="G30" s="180" t="str">
        <f t="shared" si="5"/>
        <v>-</v>
      </c>
      <c r="H30" s="180" t="str">
        <f t="shared" si="6"/>
        <v>-</v>
      </c>
      <c r="I30" s="180" t="str">
        <f t="shared" si="7"/>
        <v>-</v>
      </c>
      <c r="J30" s="180" t="str">
        <f t="shared" si="8"/>
        <v>-</v>
      </c>
      <c r="K30" s="180" t="str">
        <f t="shared" si="9"/>
        <v>-</v>
      </c>
      <c r="L30" s="180" t="str">
        <f t="shared" si="10"/>
        <v>-</v>
      </c>
      <c r="M30" s="180" t="str">
        <f t="shared" si="11"/>
        <v>-</v>
      </c>
      <c r="N30" s="180" t="str">
        <f t="shared" si="12"/>
        <v>-</v>
      </c>
      <c r="O30" s="180" t="str">
        <f t="shared" si="13"/>
        <v>-</v>
      </c>
      <c r="P30" s="180" t="str">
        <f t="shared" si="14"/>
        <v>-</v>
      </c>
      <c r="Q30" s="180" t="str">
        <f t="shared" si="15"/>
        <v>-</v>
      </c>
      <c r="R30" s="208" t="str">
        <f t="shared" si="16"/>
        <v>-</v>
      </c>
    </row>
    <row r="31" spans="2:20" x14ac:dyDescent="0.35">
      <c r="B31" s="196" t="s">
        <v>36</v>
      </c>
      <c r="C31" s="223" t="str">
        <f t="shared" si="1"/>
        <v>-</v>
      </c>
      <c r="D31" s="199" t="str">
        <f t="shared" si="2"/>
        <v>-</v>
      </c>
      <c r="E31" s="199">
        <f t="shared" si="3"/>
        <v>1</v>
      </c>
      <c r="F31" s="199">
        <f t="shared" si="4"/>
        <v>1</v>
      </c>
      <c r="G31" s="199">
        <f t="shared" si="5"/>
        <v>1</v>
      </c>
      <c r="H31" s="199">
        <f t="shared" si="6"/>
        <v>1</v>
      </c>
      <c r="I31" s="199">
        <f t="shared" si="7"/>
        <v>1</v>
      </c>
      <c r="J31" s="199">
        <f t="shared" si="8"/>
        <v>1</v>
      </c>
      <c r="K31" s="199">
        <f t="shared" si="9"/>
        <v>1</v>
      </c>
      <c r="L31" s="199">
        <f t="shared" si="10"/>
        <v>1</v>
      </c>
      <c r="M31" s="199">
        <f t="shared" si="11"/>
        <v>1</v>
      </c>
      <c r="N31" s="199" t="str">
        <f t="shared" si="12"/>
        <v>-</v>
      </c>
      <c r="O31" s="199">
        <f t="shared" si="13"/>
        <v>1</v>
      </c>
      <c r="P31" s="199">
        <f t="shared" si="14"/>
        <v>1</v>
      </c>
      <c r="Q31" s="199">
        <f t="shared" si="15"/>
        <v>1</v>
      </c>
      <c r="R31" s="201">
        <f t="shared" si="16"/>
        <v>1</v>
      </c>
    </row>
    <row r="32" spans="2:20" x14ac:dyDescent="0.35">
      <c r="B32" s="197" t="s">
        <v>37</v>
      </c>
      <c r="C32" s="180" t="str">
        <f t="shared" si="1"/>
        <v>-</v>
      </c>
      <c r="D32" s="180" t="str">
        <f t="shared" si="2"/>
        <v>-</v>
      </c>
      <c r="E32" s="180" t="str">
        <f t="shared" si="3"/>
        <v>-</v>
      </c>
      <c r="F32" s="180" t="str">
        <f t="shared" si="4"/>
        <v>-</v>
      </c>
      <c r="G32" s="180" t="str">
        <f t="shared" si="5"/>
        <v>-</v>
      </c>
      <c r="H32" s="180" t="str">
        <f t="shared" si="6"/>
        <v>-</v>
      </c>
      <c r="I32" s="180" t="str">
        <f t="shared" si="7"/>
        <v>-</v>
      </c>
      <c r="J32" s="180" t="str">
        <f t="shared" si="8"/>
        <v>-</v>
      </c>
      <c r="K32" s="180" t="str">
        <f t="shared" si="9"/>
        <v>-</v>
      </c>
      <c r="L32" s="180" t="str">
        <f t="shared" si="10"/>
        <v>-</v>
      </c>
      <c r="M32" s="180" t="str">
        <f t="shared" si="11"/>
        <v>-</v>
      </c>
      <c r="N32" s="180" t="str">
        <f t="shared" si="12"/>
        <v>-</v>
      </c>
      <c r="O32" s="180" t="str">
        <f t="shared" si="13"/>
        <v>-</v>
      </c>
      <c r="P32" s="180" t="str">
        <f t="shared" si="14"/>
        <v>-</v>
      </c>
      <c r="Q32" s="180" t="str">
        <f t="shared" si="15"/>
        <v>-</v>
      </c>
      <c r="R32" s="208" t="str">
        <f t="shared" si="16"/>
        <v>-</v>
      </c>
    </row>
    <row r="33" spans="2:18" x14ac:dyDescent="0.35">
      <c r="B33" s="196" t="s">
        <v>57</v>
      </c>
      <c r="C33" s="223" t="str">
        <f t="shared" si="1"/>
        <v>-</v>
      </c>
      <c r="D33" s="199" t="str">
        <f t="shared" si="2"/>
        <v>-</v>
      </c>
      <c r="E33" s="199" t="str">
        <f t="shared" si="3"/>
        <v>-</v>
      </c>
      <c r="F33" s="199" t="str">
        <f t="shared" si="4"/>
        <v>-</v>
      </c>
      <c r="G33" s="199" t="str">
        <f t="shared" si="5"/>
        <v>-</v>
      </c>
      <c r="H33" s="199" t="str">
        <f t="shared" si="6"/>
        <v>-</v>
      </c>
      <c r="I33" s="199" t="str">
        <f t="shared" si="7"/>
        <v>-</v>
      </c>
      <c r="J33" s="199" t="str">
        <f t="shared" si="8"/>
        <v>-</v>
      </c>
      <c r="K33" s="199" t="str">
        <f t="shared" si="9"/>
        <v>-</v>
      </c>
      <c r="L33" s="199" t="str">
        <f t="shared" si="10"/>
        <v>-</v>
      </c>
      <c r="M33" s="199" t="str">
        <f t="shared" si="11"/>
        <v>-</v>
      </c>
      <c r="N33" s="199" t="str">
        <f t="shared" si="12"/>
        <v>-</v>
      </c>
      <c r="O33" s="199" t="str">
        <f t="shared" si="13"/>
        <v>-</v>
      </c>
      <c r="P33" s="199" t="str">
        <f t="shared" si="14"/>
        <v>-</v>
      </c>
      <c r="Q33" s="199" t="str">
        <f t="shared" si="15"/>
        <v>-</v>
      </c>
      <c r="R33" s="201" t="str">
        <f t="shared" si="16"/>
        <v>-</v>
      </c>
    </row>
    <row r="34" spans="2:18" x14ac:dyDescent="0.35">
      <c r="B34" s="197" t="s">
        <v>379</v>
      </c>
      <c r="C34" s="180">
        <f t="shared" si="1"/>
        <v>1</v>
      </c>
      <c r="D34" s="180" t="str">
        <f t="shared" si="2"/>
        <v>-</v>
      </c>
      <c r="E34" s="180">
        <f t="shared" si="3"/>
        <v>1</v>
      </c>
      <c r="F34" s="180">
        <f t="shared" si="4"/>
        <v>1</v>
      </c>
      <c r="G34" s="180">
        <f t="shared" si="5"/>
        <v>1</v>
      </c>
      <c r="H34" s="180">
        <f t="shared" si="6"/>
        <v>1</v>
      </c>
      <c r="I34" s="180">
        <f t="shared" si="7"/>
        <v>1</v>
      </c>
      <c r="J34" s="180" t="str">
        <f t="shared" si="8"/>
        <v>-</v>
      </c>
      <c r="K34" s="180">
        <f t="shared" si="9"/>
        <v>1</v>
      </c>
      <c r="L34" s="180">
        <f t="shared" si="10"/>
        <v>1</v>
      </c>
      <c r="M34" s="180">
        <f t="shared" si="11"/>
        <v>1</v>
      </c>
      <c r="N34" s="180" t="str">
        <f t="shared" si="12"/>
        <v>-</v>
      </c>
      <c r="O34" s="180">
        <f t="shared" si="13"/>
        <v>1</v>
      </c>
      <c r="P34" s="180">
        <f t="shared" si="14"/>
        <v>1</v>
      </c>
      <c r="Q34" s="180" t="str">
        <f t="shared" si="15"/>
        <v>-</v>
      </c>
      <c r="R34" s="208" t="str">
        <f t="shared" si="16"/>
        <v>-</v>
      </c>
    </row>
    <row r="35" spans="2:18" x14ac:dyDescent="0.35">
      <c r="B35" s="196" t="s">
        <v>380</v>
      </c>
      <c r="C35" s="223">
        <f t="shared" si="1"/>
        <v>1</v>
      </c>
      <c r="D35" s="199" t="str">
        <f t="shared" si="2"/>
        <v>-</v>
      </c>
      <c r="E35" s="199">
        <f t="shared" si="3"/>
        <v>1</v>
      </c>
      <c r="F35" s="199">
        <f t="shared" si="4"/>
        <v>1</v>
      </c>
      <c r="G35" s="199">
        <f t="shared" si="5"/>
        <v>1</v>
      </c>
      <c r="H35" s="199">
        <f t="shared" si="6"/>
        <v>1</v>
      </c>
      <c r="I35" s="199">
        <f t="shared" si="7"/>
        <v>1</v>
      </c>
      <c r="J35" s="199">
        <f t="shared" si="8"/>
        <v>1</v>
      </c>
      <c r="K35" s="199">
        <f t="shared" si="9"/>
        <v>1</v>
      </c>
      <c r="L35" s="199">
        <f t="shared" si="10"/>
        <v>1</v>
      </c>
      <c r="M35" s="199">
        <f t="shared" si="11"/>
        <v>1</v>
      </c>
      <c r="N35" s="199" t="str">
        <f t="shared" si="12"/>
        <v>-</v>
      </c>
      <c r="O35" s="199">
        <f t="shared" si="13"/>
        <v>1</v>
      </c>
      <c r="P35" s="199">
        <f t="shared" si="14"/>
        <v>1</v>
      </c>
      <c r="Q35" s="199" t="str">
        <f t="shared" si="15"/>
        <v>-</v>
      </c>
      <c r="R35" s="201">
        <f t="shared" si="16"/>
        <v>1</v>
      </c>
    </row>
    <row r="36" spans="2:18" x14ac:dyDescent="0.35">
      <c r="B36" s="197" t="s">
        <v>381</v>
      </c>
      <c r="C36" s="180">
        <f t="shared" si="1"/>
        <v>1</v>
      </c>
      <c r="D36" s="180">
        <f t="shared" si="2"/>
        <v>1</v>
      </c>
      <c r="E36" s="180">
        <f t="shared" si="3"/>
        <v>1</v>
      </c>
      <c r="F36" s="180">
        <f t="shared" si="4"/>
        <v>1</v>
      </c>
      <c r="G36" s="180">
        <f t="shared" si="5"/>
        <v>1</v>
      </c>
      <c r="H36" s="180">
        <f t="shared" si="6"/>
        <v>1</v>
      </c>
      <c r="I36" s="180">
        <f t="shared" si="7"/>
        <v>1</v>
      </c>
      <c r="J36" s="180">
        <f t="shared" si="8"/>
        <v>1</v>
      </c>
      <c r="K36" s="180">
        <f t="shared" si="9"/>
        <v>1</v>
      </c>
      <c r="L36" s="180">
        <f t="shared" si="10"/>
        <v>1</v>
      </c>
      <c r="M36" s="180">
        <f t="shared" si="11"/>
        <v>1</v>
      </c>
      <c r="N36" s="180" t="str">
        <f t="shared" si="12"/>
        <v>-</v>
      </c>
      <c r="O36" s="180">
        <f t="shared" si="13"/>
        <v>1</v>
      </c>
      <c r="P36" s="180">
        <f t="shared" si="14"/>
        <v>1</v>
      </c>
      <c r="Q36" s="180" t="str">
        <f t="shared" si="15"/>
        <v>-</v>
      </c>
      <c r="R36" s="208">
        <f t="shared" si="16"/>
        <v>1</v>
      </c>
    </row>
    <row r="37" spans="2:18" x14ac:dyDescent="0.35">
      <c r="B37" s="196" t="s">
        <v>387</v>
      </c>
      <c r="C37" s="223" t="str">
        <f t="shared" si="1"/>
        <v>-</v>
      </c>
      <c r="D37" s="199" t="str">
        <f t="shared" si="2"/>
        <v>-</v>
      </c>
      <c r="E37" s="199">
        <f t="shared" si="3"/>
        <v>1</v>
      </c>
      <c r="F37" s="199">
        <f t="shared" si="4"/>
        <v>1</v>
      </c>
      <c r="G37" s="199">
        <f t="shared" si="5"/>
        <v>1</v>
      </c>
      <c r="H37" s="199" t="str">
        <f t="shared" si="6"/>
        <v>-</v>
      </c>
      <c r="I37" s="199">
        <f t="shared" si="7"/>
        <v>1</v>
      </c>
      <c r="J37" s="199" t="str">
        <f t="shared" si="8"/>
        <v>-</v>
      </c>
      <c r="K37" s="199">
        <f t="shared" si="9"/>
        <v>1</v>
      </c>
      <c r="L37" s="199">
        <f t="shared" si="10"/>
        <v>1</v>
      </c>
      <c r="M37" s="199">
        <f t="shared" si="11"/>
        <v>1</v>
      </c>
      <c r="N37" s="199">
        <f t="shared" si="12"/>
        <v>1</v>
      </c>
      <c r="O37" s="199">
        <f t="shared" si="13"/>
        <v>1</v>
      </c>
      <c r="P37" s="199">
        <f t="shared" si="14"/>
        <v>1</v>
      </c>
      <c r="Q37" s="199" t="str">
        <f t="shared" si="15"/>
        <v>-</v>
      </c>
      <c r="R37" s="201">
        <f t="shared" si="16"/>
        <v>1</v>
      </c>
    </row>
    <row r="38" spans="2:18" ht="15" thickBot="1" x14ac:dyDescent="0.4">
      <c r="B38" s="204" t="s">
        <v>389</v>
      </c>
      <c r="C38" s="209" t="str">
        <f t="shared" si="1"/>
        <v>-</v>
      </c>
      <c r="D38" s="209" t="str">
        <f t="shared" si="2"/>
        <v>-</v>
      </c>
      <c r="E38" s="209">
        <f t="shared" si="3"/>
        <v>1</v>
      </c>
      <c r="F38" s="209">
        <f t="shared" si="4"/>
        <v>1</v>
      </c>
      <c r="G38" s="209">
        <f t="shared" si="5"/>
        <v>1</v>
      </c>
      <c r="H38" s="209">
        <f t="shared" si="6"/>
        <v>1</v>
      </c>
      <c r="I38" s="209">
        <f t="shared" si="7"/>
        <v>1</v>
      </c>
      <c r="J38" s="209" t="str">
        <f t="shared" si="8"/>
        <v>-</v>
      </c>
      <c r="K38" s="209">
        <f t="shared" si="9"/>
        <v>1</v>
      </c>
      <c r="L38" s="209">
        <f t="shared" si="10"/>
        <v>1</v>
      </c>
      <c r="M38" s="209">
        <f t="shared" si="11"/>
        <v>1</v>
      </c>
      <c r="N38" s="209" t="str">
        <f t="shared" si="12"/>
        <v>-</v>
      </c>
      <c r="O38" s="209">
        <f t="shared" si="13"/>
        <v>1</v>
      </c>
      <c r="P38" s="209">
        <f t="shared" si="14"/>
        <v>1</v>
      </c>
      <c r="Q38" s="209">
        <f t="shared" si="15"/>
        <v>1</v>
      </c>
      <c r="R38" s="210">
        <f t="shared" si="16"/>
        <v>1</v>
      </c>
    </row>
    <row r="39" spans="2:18" ht="15" thickTop="1" x14ac:dyDescent="0.35"/>
  </sheetData>
  <mergeCells count="1">
    <mergeCell ref="S4:S5"/>
  </mergeCells>
  <conditionalFormatting sqref="A1:XFD3 A21:XFD22 A4:A20 T4:XFD20 A39:XFD1048576 A23:A38 S23:XFD38">
    <cfRule type="cellIs" dxfId="500" priority="774" operator="equal">
      <formula>"PHI"</formula>
    </cfRule>
    <cfRule type="cellIs" dxfId="499" priority="775" operator="equal">
      <formula>"GB"</formula>
    </cfRule>
    <cfRule type="cellIs" dxfId="498" priority="776" operator="equal">
      <formula>"MIN"</formula>
    </cfRule>
    <cfRule type="cellIs" dxfId="497" priority="777" operator="equal">
      <formula>"NYG"</formula>
    </cfRule>
    <cfRule type="cellIs" dxfId="496" priority="778" operator="equal">
      <formula>"PIT"</formula>
    </cfRule>
    <cfRule type="cellIs" dxfId="495" priority="779" operator="equal">
      <formula>"KC"</formula>
    </cfRule>
    <cfRule type="cellIs" dxfId="494" priority="780" operator="equal">
      <formula>"ARI"</formula>
    </cfRule>
    <cfRule type="cellIs" dxfId="493" priority="781" operator="equal">
      <formula>"LA"</formula>
    </cfRule>
    <cfRule type="cellIs" dxfId="492" priority="782" operator="equal">
      <formula>"SD"</formula>
    </cfRule>
    <cfRule type="cellIs" dxfId="491" priority="783" operator="equal">
      <formula>"NO"</formula>
    </cfRule>
    <cfRule type="cellIs" dxfId="490" priority="784" operator="equal">
      <formula>"SF"</formula>
    </cfRule>
    <cfRule type="cellIs" dxfId="489" priority="785" operator="equal">
      <formula>"DAL"</formula>
    </cfRule>
    <cfRule type="cellIs" dxfId="488" priority="786" operator="equal">
      <formula>"TB"</formula>
    </cfRule>
    <cfRule type="cellIs" dxfId="487" priority="787" operator="equal">
      <formula>"DEN"</formula>
    </cfRule>
    <cfRule type="cellIs" dxfId="486" priority="788" operator="equal">
      <formula>"BAL"</formula>
    </cfRule>
    <cfRule type="cellIs" dxfId="485" priority="789" operator="equal">
      <formula>"OAK"</formula>
    </cfRule>
    <cfRule type="cellIs" dxfId="484" priority="790" operator="equal">
      <formula>"HOU"</formula>
    </cfRule>
    <cfRule type="cellIs" dxfId="483" priority="791" operator="equal">
      <formula>"TEN"</formula>
    </cfRule>
    <cfRule type="cellIs" dxfId="482" priority="792" operator="equal">
      <formula>"CHI"</formula>
    </cfRule>
    <cfRule type="cellIs" dxfId="481" priority="793" operator="equal">
      <formula>"DET"</formula>
    </cfRule>
    <cfRule type="cellIs" dxfId="480" priority="794" operator="equal">
      <formula>"ATL"</formula>
    </cfRule>
    <cfRule type="cellIs" dxfId="479" priority="795" operator="equal">
      <formula>"CAR"</formula>
    </cfRule>
    <cfRule type="cellIs" dxfId="478" priority="796" operator="equal">
      <formula>"IND"</formula>
    </cfRule>
    <cfRule type="cellIs" dxfId="477" priority="797" operator="equal">
      <formula>"JAX"</formula>
    </cfRule>
    <cfRule type="cellIs" dxfId="476" priority="798" operator="equal">
      <formula>"NYJ"</formula>
    </cfRule>
    <cfRule type="cellIs" dxfId="475" priority="799" operator="equal">
      <formula>"SEA"</formula>
    </cfRule>
    <cfRule type="cellIs" dxfId="474" priority="800" operator="equal">
      <formula>"NE"</formula>
    </cfRule>
    <cfRule type="cellIs" dxfId="473" priority="801" operator="equal">
      <formula>"BUF"</formula>
    </cfRule>
    <cfRule type="cellIs" dxfId="472" priority="802" operator="equal">
      <formula>"WAS"</formula>
    </cfRule>
    <cfRule type="cellIs" dxfId="471" priority="803" operator="equal">
      <formula>"CLE"</formula>
    </cfRule>
    <cfRule type="cellIs" dxfId="470" priority="804" operator="equal">
      <formula>"CIN"</formula>
    </cfRule>
    <cfRule type="cellIs" dxfId="469" priority="805" operator="equal">
      <formula>"MIA"</formula>
    </cfRule>
  </conditionalFormatting>
  <conditionalFormatting sqref="S20">
    <cfRule type="cellIs" dxfId="468" priority="549" operator="equal">
      <formula>"PHI"</formula>
    </cfRule>
    <cfRule type="cellIs" dxfId="467" priority="550" operator="equal">
      <formula>"GB"</formula>
    </cfRule>
    <cfRule type="cellIs" dxfId="466" priority="551" operator="equal">
      <formula>"MIN"</formula>
    </cfRule>
    <cfRule type="cellIs" dxfId="465" priority="552" operator="equal">
      <formula>"NYG"</formula>
    </cfRule>
    <cfRule type="cellIs" dxfId="464" priority="553" operator="equal">
      <formula>"PIT"</formula>
    </cfRule>
    <cfRule type="cellIs" dxfId="463" priority="554" operator="equal">
      <formula>"KC"</formula>
    </cfRule>
    <cfRule type="cellIs" dxfId="462" priority="555" operator="equal">
      <formula>"ARI"</formula>
    </cfRule>
    <cfRule type="cellIs" dxfId="461" priority="556" operator="equal">
      <formula>"LA"</formula>
    </cfRule>
    <cfRule type="cellIs" dxfId="460" priority="557" operator="equal">
      <formula>"SD"</formula>
    </cfRule>
    <cfRule type="cellIs" dxfId="459" priority="558" operator="equal">
      <formula>"NO"</formula>
    </cfRule>
    <cfRule type="cellIs" dxfId="458" priority="559" operator="equal">
      <formula>"SF"</formula>
    </cfRule>
    <cfRule type="cellIs" dxfId="457" priority="560" operator="equal">
      <formula>"DAL"</formula>
    </cfRule>
    <cfRule type="cellIs" dxfId="456" priority="561" operator="equal">
      <formula>"TB"</formula>
    </cfRule>
    <cfRule type="cellIs" dxfId="455" priority="562" operator="equal">
      <formula>"DEN"</formula>
    </cfRule>
    <cfRule type="cellIs" dxfId="454" priority="563" operator="equal">
      <formula>"BAL"</formula>
    </cfRule>
    <cfRule type="cellIs" dxfId="453" priority="564" operator="equal">
      <formula>"OAK"</formula>
    </cfRule>
    <cfRule type="cellIs" dxfId="452" priority="565" operator="equal">
      <formula>"HOU"</formula>
    </cfRule>
    <cfRule type="cellIs" dxfId="451" priority="566" operator="equal">
      <formula>"TEN"</formula>
    </cfRule>
    <cfRule type="cellIs" dxfId="450" priority="567" operator="equal">
      <formula>"CHI"</formula>
    </cfRule>
    <cfRule type="cellIs" dxfId="449" priority="568" operator="equal">
      <formula>"DET"</formula>
    </cfRule>
    <cfRule type="cellIs" dxfId="448" priority="569" operator="equal">
      <formula>"ATL"</formula>
    </cfRule>
    <cfRule type="cellIs" dxfId="447" priority="570" operator="equal">
      <formula>"CAR"</formula>
    </cfRule>
    <cfRule type="cellIs" dxfId="446" priority="571" operator="equal">
      <formula>"IND"</formula>
    </cfRule>
    <cfRule type="cellIs" dxfId="445" priority="572" operator="equal">
      <formula>"JAX"</formula>
    </cfRule>
    <cfRule type="cellIs" dxfId="444" priority="573" operator="equal">
      <formula>"NYJ"</formula>
    </cfRule>
    <cfRule type="cellIs" dxfId="443" priority="574" operator="equal">
      <formula>"SEA"</formula>
    </cfRule>
    <cfRule type="cellIs" dxfId="442" priority="575" operator="equal">
      <formula>"NE"</formula>
    </cfRule>
    <cfRule type="cellIs" dxfId="441" priority="576" operator="equal">
      <formula>"BUF"</formula>
    </cfRule>
    <cfRule type="cellIs" dxfId="440" priority="577" operator="equal">
      <formula>"WAS"</formula>
    </cfRule>
    <cfRule type="cellIs" dxfId="439" priority="578" operator="equal">
      <formula>"CLE"</formula>
    </cfRule>
    <cfRule type="cellIs" dxfId="438" priority="579" operator="equal">
      <formula>"CIN"</formula>
    </cfRule>
    <cfRule type="cellIs" dxfId="437" priority="580" operator="equal">
      <formula>"MIA"</formula>
    </cfRule>
  </conditionalFormatting>
  <conditionalFormatting sqref="S4:S5">
    <cfRule type="cellIs" dxfId="436" priority="517" operator="equal">
      <formula>"PHI"</formula>
    </cfRule>
    <cfRule type="cellIs" dxfId="435" priority="518" operator="equal">
      <formula>"GB"</formula>
    </cfRule>
    <cfRule type="cellIs" dxfId="434" priority="519" operator="equal">
      <formula>"MIN"</formula>
    </cfRule>
    <cfRule type="cellIs" dxfId="433" priority="520" operator="equal">
      <formula>"NYG"</formula>
    </cfRule>
    <cfRule type="cellIs" dxfId="432" priority="521" operator="equal">
      <formula>"PIT"</formula>
    </cfRule>
    <cfRule type="cellIs" dxfId="431" priority="522" operator="equal">
      <formula>"KC"</formula>
    </cfRule>
    <cfRule type="cellIs" dxfId="430" priority="523" operator="equal">
      <formula>"ARI"</formula>
    </cfRule>
    <cfRule type="cellIs" dxfId="429" priority="524" operator="equal">
      <formula>"LA"</formula>
    </cfRule>
    <cfRule type="cellIs" dxfId="428" priority="525" operator="equal">
      <formula>"SD"</formula>
    </cfRule>
    <cfRule type="cellIs" dxfId="427" priority="526" operator="equal">
      <formula>"NO"</formula>
    </cfRule>
    <cfRule type="cellIs" dxfId="426" priority="527" operator="equal">
      <formula>"SF"</formula>
    </cfRule>
    <cfRule type="cellIs" dxfId="425" priority="528" operator="equal">
      <formula>"DAL"</formula>
    </cfRule>
    <cfRule type="cellIs" dxfId="424" priority="529" operator="equal">
      <formula>"TB"</formula>
    </cfRule>
    <cfRule type="cellIs" dxfId="423" priority="530" operator="equal">
      <formula>"DEN"</formula>
    </cfRule>
    <cfRule type="cellIs" dxfId="422" priority="531" operator="equal">
      <formula>"BAL"</formula>
    </cfRule>
    <cfRule type="cellIs" dxfId="421" priority="532" operator="equal">
      <formula>"OAK"</formula>
    </cfRule>
    <cfRule type="cellIs" dxfId="420" priority="533" operator="equal">
      <formula>"HOU"</formula>
    </cfRule>
    <cfRule type="cellIs" dxfId="419" priority="534" operator="equal">
      <formula>"TEN"</formula>
    </cfRule>
    <cfRule type="cellIs" dxfId="418" priority="535" operator="equal">
      <formula>"CHI"</formula>
    </cfRule>
    <cfRule type="cellIs" dxfId="417" priority="536" operator="equal">
      <formula>"DET"</formula>
    </cfRule>
    <cfRule type="cellIs" dxfId="416" priority="537" operator="equal">
      <formula>"ATL"</formula>
    </cfRule>
    <cfRule type="cellIs" dxfId="415" priority="538" operator="equal">
      <formula>"CAR"</formula>
    </cfRule>
    <cfRule type="cellIs" dxfId="414" priority="539" operator="equal">
      <formula>"IND"</formula>
    </cfRule>
    <cfRule type="cellIs" dxfId="413" priority="540" operator="equal">
      <formula>"JAX"</formula>
    </cfRule>
    <cfRule type="cellIs" dxfId="412" priority="541" operator="equal">
      <formula>"NYJ"</formula>
    </cfRule>
    <cfRule type="cellIs" dxfId="411" priority="542" operator="equal">
      <formula>"SEA"</formula>
    </cfRule>
    <cfRule type="cellIs" dxfId="410" priority="543" operator="equal">
      <formula>"NE"</formula>
    </cfRule>
    <cfRule type="cellIs" dxfId="409" priority="544" operator="equal">
      <formula>"BUF"</formula>
    </cfRule>
    <cfRule type="cellIs" dxfId="408" priority="545" operator="equal">
      <formula>"WAS"</formula>
    </cfRule>
    <cfRule type="cellIs" dxfId="407" priority="546" operator="equal">
      <formula>"CLE"</formula>
    </cfRule>
    <cfRule type="cellIs" dxfId="406" priority="547" operator="equal">
      <formula>"CIN"</formula>
    </cfRule>
    <cfRule type="cellIs" dxfId="405" priority="548" operator="equal">
      <formula>"MIA"</formula>
    </cfRule>
  </conditionalFormatting>
  <conditionalFormatting sqref="B20">
    <cfRule type="cellIs" dxfId="404" priority="485" operator="equal">
      <formula>"PHI"</formula>
    </cfRule>
    <cfRule type="cellIs" dxfId="403" priority="486" operator="equal">
      <formula>"GB"</formula>
    </cfRule>
    <cfRule type="cellIs" dxfId="402" priority="487" operator="equal">
      <formula>"MIN"</formula>
    </cfRule>
    <cfRule type="cellIs" dxfId="401" priority="488" operator="equal">
      <formula>"NYG"</formula>
    </cfRule>
    <cfRule type="cellIs" dxfId="400" priority="489" operator="equal">
      <formula>"PIT"</formula>
    </cfRule>
    <cfRule type="cellIs" dxfId="399" priority="490" operator="equal">
      <formula>"KC"</formula>
    </cfRule>
    <cfRule type="cellIs" dxfId="398" priority="491" operator="equal">
      <formula>"ARI"</formula>
    </cfRule>
    <cfRule type="cellIs" dxfId="397" priority="492" operator="equal">
      <formula>"LA"</formula>
    </cfRule>
    <cfRule type="cellIs" dxfId="396" priority="493" operator="equal">
      <formula>"SD"</formula>
    </cfRule>
    <cfRule type="cellIs" dxfId="395" priority="494" operator="equal">
      <formula>"NO"</formula>
    </cfRule>
    <cfRule type="cellIs" dxfId="394" priority="495" operator="equal">
      <formula>"SF"</formula>
    </cfRule>
    <cfRule type="cellIs" dxfId="393" priority="496" operator="equal">
      <formula>"DAL"</formula>
    </cfRule>
    <cfRule type="cellIs" dxfId="392" priority="497" operator="equal">
      <formula>"TB"</formula>
    </cfRule>
    <cfRule type="cellIs" dxfId="391" priority="498" operator="equal">
      <formula>"DEN"</formula>
    </cfRule>
    <cfRule type="cellIs" dxfId="390" priority="499" operator="equal">
      <formula>"BAL"</formula>
    </cfRule>
    <cfRule type="cellIs" dxfId="389" priority="500" operator="equal">
      <formula>"OAK"</formula>
    </cfRule>
    <cfRule type="cellIs" dxfId="388" priority="501" operator="equal">
      <formula>"HOU"</formula>
    </cfRule>
    <cfRule type="cellIs" dxfId="387" priority="502" operator="equal">
      <formula>"TEN"</formula>
    </cfRule>
    <cfRule type="cellIs" dxfId="386" priority="503" operator="equal">
      <formula>"CHI"</formula>
    </cfRule>
    <cfRule type="cellIs" dxfId="385" priority="504" operator="equal">
      <formula>"DET"</formula>
    </cfRule>
    <cfRule type="cellIs" dxfId="384" priority="505" operator="equal">
      <formula>"ATL"</formula>
    </cfRule>
    <cfRule type="cellIs" dxfId="383" priority="506" operator="equal">
      <formula>"CAR"</formula>
    </cfRule>
    <cfRule type="cellIs" dxfId="382" priority="507" operator="equal">
      <formula>"IND"</formula>
    </cfRule>
    <cfRule type="cellIs" dxfId="381" priority="508" operator="equal">
      <formula>"JAX"</formula>
    </cfRule>
    <cfRule type="cellIs" dxfId="380" priority="509" operator="equal">
      <formula>"NYJ"</formula>
    </cfRule>
    <cfRule type="cellIs" dxfId="379" priority="510" operator="equal">
      <formula>"SEA"</formula>
    </cfRule>
    <cfRule type="cellIs" dxfId="378" priority="511" operator="equal">
      <formula>"NE"</formula>
    </cfRule>
    <cfRule type="cellIs" dxfId="377" priority="512" operator="equal">
      <formula>"BUF"</formula>
    </cfRule>
    <cfRule type="cellIs" dxfId="376" priority="513" operator="equal">
      <formula>"WAS"</formula>
    </cfRule>
    <cfRule type="cellIs" dxfId="375" priority="514" operator="equal">
      <formula>"CLE"</formula>
    </cfRule>
    <cfRule type="cellIs" dxfId="374" priority="515" operator="equal">
      <formula>"CIN"</formula>
    </cfRule>
    <cfRule type="cellIs" dxfId="373" priority="516" operator="equal">
      <formula>"MIA"</formula>
    </cfRule>
  </conditionalFormatting>
  <conditionalFormatting sqref="C20:R20">
    <cfRule type="cellIs" dxfId="372" priority="453" operator="equal">
      <formula>"PHI"</formula>
    </cfRule>
    <cfRule type="cellIs" dxfId="371" priority="454" operator="equal">
      <formula>"GB"</formula>
    </cfRule>
    <cfRule type="cellIs" dxfId="370" priority="455" operator="equal">
      <formula>"MIN"</formula>
    </cfRule>
    <cfRule type="cellIs" dxfId="369" priority="456" operator="equal">
      <formula>"NYG"</formula>
    </cfRule>
    <cfRule type="cellIs" dxfId="368" priority="457" operator="equal">
      <formula>"PIT"</formula>
    </cfRule>
    <cfRule type="cellIs" dxfId="367" priority="458" operator="equal">
      <formula>"KC"</formula>
    </cfRule>
    <cfRule type="cellIs" dxfId="366" priority="459" operator="equal">
      <formula>"ARI"</formula>
    </cfRule>
    <cfRule type="cellIs" dxfId="365" priority="460" operator="equal">
      <formula>"LA"</formula>
    </cfRule>
    <cfRule type="cellIs" dxfId="364" priority="461" operator="equal">
      <formula>"SD"</formula>
    </cfRule>
    <cfRule type="cellIs" dxfId="363" priority="462" operator="equal">
      <formula>"NO"</formula>
    </cfRule>
    <cfRule type="cellIs" dxfId="362" priority="463" operator="equal">
      <formula>"SF"</formula>
    </cfRule>
    <cfRule type="cellIs" dxfId="361" priority="464" operator="equal">
      <formula>"DAL"</formula>
    </cfRule>
    <cfRule type="cellIs" dxfId="360" priority="465" operator="equal">
      <formula>"TB"</formula>
    </cfRule>
    <cfRule type="cellIs" dxfId="359" priority="466" operator="equal">
      <formula>"DEN"</formula>
    </cfRule>
    <cfRule type="cellIs" dxfId="358" priority="467" operator="equal">
      <formula>"BAL"</formula>
    </cfRule>
    <cfRule type="cellIs" dxfId="357" priority="468" operator="equal">
      <formula>"OAK"</formula>
    </cfRule>
    <cfRule type="cellIs" dxfId="356" priority="469" operator="equal">
      <formula>"HOU"</formula>
    </cfRule>
    <cfRule type="cellIs" dxfId="355" priority="470" operator="equal">
      <formula>"TEN"</formula>
    </cfRule>
    <cfRule type="cellIs" dxfId="354" priority="471" operator="equal">
      <formula>"CHI"</formula>
    </cfRule>
    <cfRule type="cellIs" dxfId="353" priority="472" operator="equal">
      <formula>"DET"</formula>
    </cfRule>
    <cfRule type="cellIs" dxfId="352" priority="473" operator="equal">
      <formula>"ATL"</formula>
    </cfRule>
    <cfRule type="cellIs" dxfId="351" priority="474" operator="equal">
      <formula>"CAR"</formula>
    </cfRule>
    <cfRule type="cellIs" dxfId="350" priority="475" operator="equal">
      <formula>"IND"</formula>
    </cfRule>
    <cfRule type="cellIs" dxfId="349" priority="476" operator="equal">
      <formula>"JAX"</formula>
    </cfRule>
    <cfRule type="cellIs" dxfId="348" priority="477" operator="equal">
      <formula>"NYJ"</formula>
    </cfRule>
    <cfRule type="cellIs" dxfId="347" priority="478" operator="equal">
      <formula>"SEA"</formula>
    </cfRule>
    <cfRule type="cellIs" dxfId="346" priority="479" operator="equal">
      <formula>"NE"</formula>
    </cfRule>
    <cfRule type="cellIs" dxfId="345" priority="480" operator="equal">
      <formula>"BUF"</formula>
    </cfRule>
    <cfRule type="cellIs" dxfId="344" priority="481" operator="equal">
      <formula>"WAS"</formula>
    </cfRule>
    <cfRule type="cellIs" dxfId="343" priority="482" operator="equal">
      <formula>"CLE"</formula>
    </cfRule>
    <cfRule type="cellIs" dxfId="342" priority="483" operator="equal">
      <formula>"CIN"</formula>
    </cfRule>
    <cfRule type="cellIs" dxfId="341" priority="484" operator="equal">
      <formula>"MIA"</formula>
    </cfRule>
  </conditionalFormatting>
  <conditionalFormatting sqref="Q6:R19">
    <cfRule type="cellIs" dxfId="340" priority="195" operator="equal">
      <formula>"PHI"</formula>
    </cfRule>
    <cfRule type="cellIs" dxfId="339" priority="196" operator="equal">
      <formula>"GB"</formula>
    </cfRule>
    <cfRule type="cellIs" dxfId="338" priority="197" operator="equal">
      <formula>"MIN"</formula>
    </cfRule>
    <cfRule type="cellIs" dxfId="337" priority="198" operator="equal">
      <formula>"NYG"</formula>
    </cfRule>
    <cfRule type="cellIs" dxfId="336" priority="199" operator="equal">
      <formula>"PIT"</formula>
    </cfRule>
    <cfRule type="cellIs" dxfId="335" priority="200" operator="equal">
      <formula>"KC"</formula>
    </cfRule>
    <cfRule type="cellIs" dxfId="334" priority="201" operator="equal">
      <formula>"ARI"</formula>
    </cfRule>
    <cfRule type="cellIs" dxfId="333" priority="202" operator="equal">
      <formula>"LA"</formula>
    </cfRule>
    <cfRule type="cellIs" dxfId="332" priority="203" operator="equal">
      <formula>"SD"</formula>
    </cfRule>
    <cfRule type="cellIs" dxfId="331" priority="204" operator="equal">
      <formula>"NO"</formula>
    </cfRule>
    <cfRule type="cellIs" dxfId="330" priority="205" operator="equal">
      <formula>"SF"</formula>
    </cfRule>
    <cfRule type="cellIs" dxfId="329" priority="206" operator="equal">
      <formula>"DAL"</formula>
    </cfRule>
    <cfRule type="cellIs" dxfId="328" priority="207" operator="equal">
      <formula>"TB"</formula>
    </cfRule>
    <cfRule type="cellIs" dxfId="327" priority="208" operator="equal">
      <formula>"DEN"</formula>
    </cfRule>
    <cfRule type="cellIs" dxfId="326" priority="209" operator="equal">
      <formula>"BAL"</formula>
    </cfRule>
    <cfRule type="cellIs" dxfId="325" priority="210" operator="equal">
      <formula>"OAK"</formula>
    </cfRule>
    <cfRule type="cellIs" dxfId="324" priority="211" operator="equal">
      <formula>"HOU"</formula>
    </cfRule>
    <cfRule type="cellIs" dxfId="323" priority="212" operator="equal">
      <formula>"TEN"</formula>
    </cfRule>
    <cfRule type="cellIs" dxfId="322" priority="213" operator="equal">
      <formula>"CHI"</formula>
    </cfRule>
    <cfRule type="cellIs" dxfId="321" priority="214" operator="equal">
      <formula>"DET"</formula>
    </cfRule>
    <cfRule type="cellIs" dxfId="320" priority="215" operator="equal">
      <formula>"ATL"</formula>
    </cfRule>
    <cfRule type="cellIs" dxfId="319" priority="216" operator="equal">
      <formula>"CAR"</formula>
    </cfRule>
    <cfRule type="cellIs" dxfId="318" priority="217" operator="equal">
      <formula>"IND"</formula>
    </cfRule>
    <cfRule type="cellIs" dxfId="317" priority="218" operator="equal">
      <formula>"JAX"</formula>
    </cfRule>
    <cfRule type="cellIs" dxfId="316" priority="219" operator="equal">
      <formula>"NYJ"</formula>
    </cfRule>
    <cfRule type="cellIs" dxfId="315" priority="220" operator="equal">
      <formula>"SEA"</formula>
    </cfRule>
    <cfRule type="cellIs" dxfId="314" priority="221" operator="equal">
      <formula>"NE"</formula>
    </cfRule>
    <cfRule type="cellIs" dxfId="313" priority="222" operator="equal">
      <formula>"BUF"</formula>
    </cfRule>
    <cfRule type="cellIs" dxfId="312" priority="223" operator="equal">
      <formula>"WAS"</formula>
    </cfRule>
    <cfRule type="cellIs" dxfId="311" priority="224" operator="equal">
      <formula>"CLE"</formula>
    </cfRule>
    <cfRule type="cellIs" dxfId="310" priority="225" operator="equal">
      <formula>"CIN"</formula>
    </cfRule>
    <cfRule type="cellIs" dxfId="309" priority="226" operator="equal">
      <formula>"MIA"</formula>
    </cfRule>
  </conditionalFormatting>
  <conditionalFormatting sqref="B6:P19">
    <cfRule type="cellIs" dxfId="308" priority="163" operator="equal">
      <formula>"PHI"</formula>
    </cfRule>
    <cfRule type="cellIs" dxfId="307" priority="164" operator="equal">
      <formula>"GB"</formula>
    </cfRule>
    <cfRule type="cellIs" dxfId="306" priority="165" operator="equal">
      <formula>"MIN"</formula>
    </cfRule>
    <cfRule type="cellIs" dxfId="305" priority="166" operator="equal">
      <formula>"NYG"</formula>
    </cfRule>
    <cfRule type="cellIs" dxfId="304" priority="167" operator="equal">
      <formula>"PIT"</formula>
    </cfRule>
    <cfRule type="cellIs" dxfId="303" priority="168" operator="equal">
      <formula>"KC"</formula>
    </cfRule>
    <cfRule type="cellIs" dxfId="302" priority="169" operator="equal">
      <formula>"ARI"</formula>
    </cfRule>
    <cfRule type="cellIs" dxfId="301" priority="170" operator="equal">
      <formula>"LA"</formula>
    </cfRule>
    <cfRule type="cellIs" dxfId="300" priority="171" operator="equal">
      <formula>"SD"</formula>
    </cfRule>
    <cfRule type="cellIs" dxfId="299" priority="172" operator="equal">
      <formula>"NO"</formula>
    </cfRule>
    <cfRule type="cellIs" dxfId="298" priority="173" operator="equal">
      <formula>"SF"</formula>
    </cfRule>
    <cfRule type="cellIs" dxfId="297" priority="174" operator="equal">
      <formula>"DAL"</formula>
    </cfRule>
    <cfRule type="cellIs" dxfId="296" priority="175" operator="equal">
      <formula>"TB"</formula>
    </cfRule>
    <cfRule type="cellIs" dxfId="295" priority="176" operator="equal">
      <formula>"DEN"</formula>
    </cfRule>
    <cfRule type="cellIs" dxfId="294" priority="177" operator="equal">
      <formula>"BAL"</formula>
    </cfRule>
    <cfRule type="cellIs" dxfId="293" priority="178" operator="equal">
      <formula>"OAK"</formula>
    </cfRule>
    <cfRule type="cellIs" dxfId="292" priority="179" operator="equal">
      <formula>"HOU"</formula>
    </cfRule>
    <cfRule type="cellIs" dxfId="291" priority="180" operator="equal">
      <formula>"TEN"</formula>
    </cfRule>
    <cfRule type="cellIs" dxfId="290" priority="181" operator="equal">
      <formula>"CHI"</formula>
    </cfRule>
    <cfRule type="cellIs" dxfId="289" priority="182" operator="equal">
      <formula>"DET"</formula>
    </cfRule>
    <cfRule type="cellIs" dxfId="288" priority="183" operator="equal">
      <formula>"ATL"</formula>
    </cfRule>
    <cfRule type="cellIs" dxfId="287" priority="184" operator="equal">
      <formula>"CAR"</formula>
    </cfRule>
    <cfRule type="cellIs" dxfId="286" priority="185" operator="equal">
      <formula>"IND"</formula>
    </cfRule>
    <cfRule type="cellIs" dxfId="285" priority="186" operator="equal">
      <formula>"JAX"</formula>
    </cfRule>
    <cfRule type="cellIs" dxfId="284" priority="187" operator="equal">
      <formula>"NYJ"</formula>
    </cfRule>
    <cfRule type="cellIs" dxfId="283" priority="188" operator="equal">
      <formula>"SEA"</formula>
    </cfRule>
    <cfRule type="cellIs" dxfId="282" priority="189" operator="equal">
      <formula>"NE"</formula>
    </cfRule>
    <cfRule type="cellIs" dxfId="281" priority="190" operator="equal">
      <formula>"BUF"</formula>
    </cfRule>
    <cfRule type="cellIs" dxfId="280" priority="191" operator="equal">
      <formula>"WAS"</formula>
    </cfRule>
    <cfRule type="cellIs" dxfId="279" priority="192" operator="equal">
      <formula>"CLE"</formula>
    </cfRule>
    <cfRule type="cellIs" dxfId="278" priority="193" operator="equal">
      <formula>"CIN"</formula>
    </cfRule>
    <cfRule type="cellIs" dxfId="277" priority="194" operator="equal">
      <formula>"MIA"</formula>
    </cfRule>
  </conditionalFormatting>
  <conditionalFormatting sqref="Q25:R38">
    <cfRule type="cellIs" dxfId="31" priority="33" operator="equal">
      <formula>"PHI"</formula>
    </cfRule>
    <cfRule type="cellIs" dxfId="30" priority="34" operator="equal">
      <formula>"GB"</formula>
    </cfRule>
    <cfRule type="cellIs" dxfId="29" priority="35" operator="equal">
      <formula>"MIN"</formula>
    </cfRule>
    <cfRule type="cellIs" dxfId="28" priority="36" operator="equal">
      <formula>"NYG"</formula>
    </cfRule>
    <cfRule type="cellIs" dxfId="27" priority="37" operator="equal">
      <formula>"PIT"</formula>
    </cfRule>
    <cfRule type="cellIs" dxfId="26" priority="38" operator="equal">
      <formula>"KC"</formula>
    </cfRule>
    <cfRule type="cellIs" dxfId="25" priority="39" operator="equal">
      <formula>"ARI"</formula>
    </cfRule>
    <cfRule type="cellIs" dxfId="24" priority="40" operator="equal">
      <formula>"LA"</formula>
    </cfRule>
    <cfRule type="cellIs" dxfId="23" priority="41" operator="equal">
      <formula>"SD"</formula>
    </cfRule>
    <cfRule type="cellIs" dxfId="22" priority="42" operator="equal">
      <formula>"NO"</formula>
    </cfRule>
    <cfRule type="cellIs" dxfId="21" priority="43" operator="equal">
      <formula>"SF"</formula>
    </cfRule>
    <cfRule type="cellIs" dxfId="20" priority="44" operator="equal">
      <formula>"DAL"</formula>
    </cfRule>
    <cfRule type="cellIs" dxfId="19" priority="45" operator="equal">
      <formula>"TB"</formula>
    </cfRule>
    <cfRule type="cellIs" dxfId="18" priority="46" operator="equal">
      <formula>"DEN"</formula>
    </cfRule>
    <cfRule type="cellIs" dxfId="17" priority="47" operator="equal">
      <formula>"BAL"</formula>
    </cfRule>
    <cfRule type="cellIs" dxfId="16" priority="48" operator="equal">
      <formula>"OAK"</formula>
    </cfRule>
    <cfRule type="cellIs" dxfId="15" priority="49" operator="equal">
      <formula>"HOU"</formula>
    </cfRule>
    <cfRule type="cellIs" dxfId="14" priority="50" operator="equal">
      <formula>"TEN"</formula>
    </cfRule>
    <cfRule type="cellIs" dxfId="13" priority="51" operator="equal">
      <formula>"CHI"</formula>
    </cfRule>
    <cfRule type="cellIs" dxfId="12" priority="52" operator="equal">
      <formula>"DET"</formula>
    </cfRule>
    <cfRule type="cellIs" dxfId="11" priority="53" operator="equal">
      <formula>"ATL"</formula>
    </cfRule>
    <cfRule type="cellIs" dxfId="10" priority="54" operator="equal">
      <formula>"CAR"</formula>
    </cfRule>
    <cfRule type="cellIs" dxfId="9" priority="55" operator="equal">
      <formula>"IND"</formula>
    </cfRule>
    <cfRule type="cellIs" dxfId="8" priority="56" operator="equal">
      <formula>"JAX"</formula>
    </cfRule>
    <cfRule type="cellIs" dxfId="7" priority="57" operator="equal">
      <formula>"NYJ"</formula>
    </cfRule>
    <cfRule type="cellIs" dxfId="6" priority="58" operator="equal">
      <formula>"SEA"</formula>
    </cfRule>
    <cfRule type="cellIs" dxfId="5" priority="59" operator="equal">
      <formula>"NE"</formula>
    </cfRule>
    <cfRule type="cellIs" dxfId="4" priority="60" operator="equal">
      <formula>"BUF"</formula>
    </cfRule>
    <cfRule type="cellIs" dxfId="3" priority="61" operator="equal">
      <formula>"WAS"</formula>
    </cfRule>
    <cfRule type="cellIs" dxfId="2" priority="62" operator="equal">
      <formula>"CLE"</formula>
    </cfRule>
    <cfRule type="cellIs" dxfId="1" priority="63" operator="equal">
      <formula>"CIN"</formula>
    </cfRule>
    <cfRule type="cellIs" dxfId="0" priority="64" operator="equal">
      <formula>"MIA"</formula>
    </cfRule>
  </conditionalFormatting>
  <conditionalFormatting sqref="B37:B38">
    <cfRule type="cellIs" dxfId="276" priority="66" operator="equal">
      <formula>"PHI"</formula>
    </cfRule>
    <cfRule type="cellIs" dxfId="275" priority="67" operator="equal">
      <formula>"GB"</formula>
    </cfRule>
    <cfRule type="cellIs" dxfId="274" priority="68" operator="equal">
      <formula>"MIN"</formula>
    </cfRule>
    <cfRule type="cellIs" dxfId="273" priority="69" operator="equal">
      <formula>"NYG"</formula>
    </cfRule>
    <cfRule type="cellIs" dxfId="272" priority="70" operator="equal">
      <formula>"PIT"</formula>
    </cfRule>
    <cfRule type="cellIs" dxfId="271" priority="71" operator="equal">
      <formula>"KC"</formula>
    </cfRule>
    <cfRule type="cellIs" dxfId="270" priority="72" operator="equal">
      <formula>"ARI"</formula>
    </cfRule>
    <cfRule type="cellIs" dxfId="269" priority="73" operator="equal">
      <formula>"LA"</formula>
    </cfRule>
    <cfRule type="cellIs" dxfId="268" priority="74" operator="equal">
      <formula>"SD"</formula>
    </cfRule>
    <cfRule type="cellIs" dxfId="267" priority="75" operator="equal">
      <formula>"NO"</formula>
    </cfRule>
    <cfRule type="cellIs" dxfId="266" priority="76" operator="equal">
      <formula>"SF"</formula>
    </cfRule>
    <cfRule type="cellIs" dxfId="265" priority="77" operator="equal">
      <formula>"DAL"</formula>
    </cfRule>
    <cfRule type="cellIs" dxfId="264" priority="78" operator="equal">
      <formula>"TB"</formula>
    </cfRule>
    <cfRule type="cellIs" dxfId="263" priority="79" operator="equal">
      <formula>"DEN"</formula>
    </cfRule>
    <cfRule type="cellIs" dxfId="262" priority="80" operator="equal">
      <formula>"BAL"</formula>
    </cfRule>
    <cfRule type="cellIs" dxfId="261" priority="81" operator="equal">
      <formula>"OAK"</formula>
    </cfRule>
    <cfRule type="cellIs" dxfId="260" priority="82" operator="equal">
      <formula>"HOU"</formula>
    </cfRule>
    <cfRule type="cellIs" dxfId="259" priority="83" operator="equal">
      <formula>"TEN"</formula>
    </cfRule>
    <cfRule type="cellIs" dxfId="258" priority="84" operator="equal">
      <formula>"CHI"</formula>
    </cfRule>
    <cfRule type="cellIs" dxfId="257" priority="85" operator="equal">
      <formula>"DET"</formula>
    </cfRule>
    <cfRule type="cellIs" dxfId="256" priority="86" operator="equal">
      <formula>"ATL"</formula>
    </cfRule>
    <cfRule type="cellIs" dxfId="255" priority="87" operator="equal">
      <formula>"CAR"</formula>
    </cfRule>
    <cfRule type="cellIs" dxfId="254" priority="88" operator="equal">
      <formula>"IND"</formula>
    </cfRule>
    <cfRule type="cellIs" dxfId="253" priority="89" operator="equal">
      <formula>"JAX"</formula>
    </cfRule>
    <cfRule type="cellIs" dxfId="252" priority="90" operator="equal">
      <formula>"NYJ"</formula>
    </cfRule>
    <cfRule type="cellIs" dxfId="251" priority="91" operator="equal">
      <formula>"SEA"</formula>
    </cfRule>
    <cfRule type="cellIs" dxfId="250" priority="92" operator="equal">
      <formula>"NE"</formula>
    </cfRule>
    <cfRule type="cellIs" dxfId="249" priority="93" operator="equal">
      <formula>"BUF"</formula>
    </cfRule>
    <cfRule type="cellIs" dxfId="248" priority="94" operator="equal">
      <formula>"WAS"</formula>
    </cfRule>
    <cfRule type="cellIs" dxfId="247" priority="95" operator="equal">
      <formula>"CLE"</formula>
    </cfRule>
    <cfRule type="cellIs" dxfId="246" priority="96" operator="equal">
      <formula>"CIN"</formula>
    </cfRule>
    <cfRule type="cellIs" dxfId="245" priority="97" operator="equal">
      <formula>"MIA"</formula>
    </cfRule>
  </conditionalFormatting>
  <conditionalFormatting sqref="C25:P38">
    <cfRule type="cellIs" dxfId="63" priority="130" operator="equal">
      <formula>"PHI"</formula>
    </cfRule>
    <cfRule type="cellIs" dxfId="62" priority="131" operator="equal">
      <formula>"GB"</formula>
    </cfRule>
    <cfRule type="cellIs" dxfId="61" priority="132" operator="equal">
      <formula>"MIN"</formula>
    </cfRule>
    <cfRule type="cellIs" dxfId="60" priority="133" operator="equal">
      <formula>"NYG"</formula>
    </cfRule>
    <cfRule type="cellIs" dxfId="59" priority="134" operator="equal">
      <formula>"PIT"</formula>
    </cfRule>
    <cfRule type="cellIs" dxfId="58" priority="135" operator="equal">
      <formula>"KC"</formula>
    </cfRule>
    <cfRule type="cellIs" dxfId="57" priority="136" operator="equal">
      <formula>"ARI"</formula>
    </cfRule>
    <cfRule type="cellIs" dxfId="56" priority="137" operator="equal">
      <formula>"LA"</formula>
    </cfRule>
    <cfRule type="cellIs" dxfId="55" priority="138" operator="equal">
      <formula>"SD"</formula>
    </cfRule>
    <cfRule type="cellIs" dxfId="54" priority="139" operator="equal">
      <formula>"NO"</formula>
    </cfRule>
    <cfRule type="cellIs" dxfId="53" priority="140" operator="equal">
      <formula>"SF"</formula>
    </cfRule>
    <cfRule type="cellIs" dxfId="52" priority="141" operator="equal">
      <formula>"DAL"</formula>
    </cfRule>
    <cfRule type="cellIs" dxfId="51" priority="142" operator="equal">
      <formula>"TB"</formula>
    </cfRule>
    <cfRule type="cellIs" dxfId="50" priority="143" operator="equal">
      <formula>"DEN"</formula>
    </cfRule>
    <cfRule type="cellIs" dxfId="49" priority="144" operator="equal">
      <formula>"BAL"</formula>
    </cfRule>
    <cfRule type="cellIs" dxfId="48" priority="145" operator="equal">
      <formula>"OAK"</formula>
    </cfRule>
    <cfRule type="cellIs" dxfId="47" priority="146" operator="equal">
      <formula>"HOU"</formula>
    </cfRule>
    <cfRule type="cellIs" dxfId="46" priority="147" operator="equal">
      <formula>"TEN"</formula>
    </cfRule>
    <cfRule type="cellIs" dxfId="45" priority="148" operator="equal">
      <formula>"CHI"</formula>
    </cfRule>
    <cfRule type="cellIs" dxfId="44" priority="149" operator="equal">
      <formula>"DET"</formula>
    </cfRule>
    <cfRule type="cellIs" dxfId="43" priority="150" operator="equal">
      <formula>"ATL"</formula>
    </cfRule>
    <cfRule type="cellIs" dxfId="42" priority="151" operator="equal">
      <formula>"CAR"</formula>
    </cfRule>
    <cfRule type="cellIs" dxfId="41" priority="152" operator="equal">
      <formula>"IND"</formula>
    </cfRule>
    <cfRule type="cellIs" dxfId="40" priority="153" operator="equal">
      <formula>"JAX"</formula>
    </cfRule>
    <cfRule type="cellIs" dxfId="39" priority="154" operator="equal">
      <formula>"NYJ"</formula>
    </cfRule>
    <cfRule type="cellIs" dxfId="38" priority="155" operator="equal">
      <formula>"SEA"</formula>
    </cfRule>
    <cfRule type="cellIs" dxfId="37" priority="156" operator="equal">
      <formula>"NE"</formula>
    </cfRule>
    <cfRule type="cellIs" dxfId="36" priority="157" operator="equal">
      <formula>"BUF"</formula>
    </cfRule>
    <cfRule type="cellIs" dxfId="35" priority="158" operator="equal">
      <formula>"WAS"</formula>
    </cfRule>
    <cfRule type="cellIs" dxfId="34" priority="159" operator="equal">
      <formula>"CLE"</formula>
    </cfRule>
    <cfRule type="cellIs" dxfId="33" priority="160" operator="equal">
      <formula>"CIN"</formula>
    </cfRule>
    <cfRule type="cellIs" dxfId="32" priority="161" operator="equal">
      <formula>"MIA"</formula>
    </cfRule>
  </conditionalFormatting>
  <conditionalFormatting sqref="B25:B36">
    <cfRule type="cellIs" dxfId="244" priority="98" operator="equal">
      <formula>"PHI"</formula>
    </cfRule>
    <cfRule type="cellIs" dxfId="243" priority="99" operator="equal">
      <formula>"GB"</formula>
    </cfRule>
    <cfRule type="cellIs" dxfId="242" priority="100" operator="equal">
      <formula>"MIN"</formula>
    </cfRule>
    <cfRule type="cellIs" dxfId="241" priority="101" operator="equal">
      <formula>"NYG"</formula>
    </cfRule>
    <cfRule type="cellIs" dxfId="240" priority="102" operator="equal">
      <formula>"PIT"</formula>
    </cfRule>
    <cfRule type="cellIs" dxfId="239" priority="103" operator="equal">
      <formula>"KC"</formula>
    </cfRule>
    <cfRule type="cellIs" dxfId="238" priority="104" operator="equal">
      <formula>"ARI"</formula>
    </cfRule>
    <cfRule type="cellIs" dxfId="237" priority="105" operator="equal">
      <formula>"LA"</formula>
    </cfRule>
    <cfRule type="cellIs" dxfId="236" priority="106" operator="equal">
      <formula>"SD"</formula>
    </cfRule>
    <cfRule type="cellIs" dxfId="235" priority="107" operator="equal">
      <formula>"NO"</formula>
    </cfRule>
    <cfRule type="cellIs" dxfId="234" priority="108" operator="equal">
      <formula>"SF"</formula>
    </cfRule>
    <cfRule type="cellIs" dxfId="233" priority="109" operator="equal">
      <formula>"DAL"</formula>
    </cfRule>
    <cfRule type="cellIs" dxfId="232" priority="110" operator="equal">
      <formula>"TB"</formula>
    </cfRule>
    <cfRule type="cellIs" dxfId="231" priority="111" operator="equal">
      <formula>"DEN"</formula>
    </cfRule>
    <cfRule type="cellIs" dxfId="230" priority="112" operator="equal">
      <formula>"BAL"</formula>
    </cfRule>
    <cfRule type="cellIs" dxfId="229" priority="113" operator="equal">
      <formula>"OAK"</formula>
    </cfRule>
    <cfRule type="cellIs" dxfId="228" priority="114" operator="equal">
      <formula>"HOU"</formula>
    </cfRule>
    <cfRule type="cellIs" dxfId="227" priority="115" operator="equal">
      <formula>"TEN"</formula>
    </cfRule>
    <cfRule type="cellIs" dxfId="226" priority="116" operator="equal">
      <formula>"CHI"</formula>
    </cfRule>
    <cfRule type="cellIs" dxfId="225" priority="117" operator="equal">
      <formula>"DET"</formula>
    </cfRule>
    <cfRule type="cellIs" dxfId="224" priority="118" operator="equal">
      <formula>"ATL"</formula>
    </cfRule>
    <cfRule type="cellIs" dxfId="223" priority="119" operator="equal">
      <formula>"CAR"</formula>
    </cfRule>
    <cfRule type="cellIs" dxfId="222" priority="120" operator="equal">
      <formula>"IND"</formula>
    </cfRule>
    <cfRule type="cellIs" dxfId="221" priority="121" operator="equal">
      <formula>"JAX"</formula>
    </cfRule>
    <cfRule type="cellIs" dxfId="220" priority="122" operator="equal">
      <formula>"NYJ"</formula>
    </cfRule>
    <cfRule type="cellIs" dxfId="219" priority="123" operator="equal">
      <formula>"SEA"</formula>
    </cfRule>
    <cfRule type="cellIs" dxfId="218" priority="124" operator="equal">
      <formula>"NE"</formula>
    </cfRule>
    <cfRule type="cellIs" dxfId="217" priority="125" operator="equal">
      <formula>"BUF"</formula>
    </cfRule>
    <cfRule type="cellIs" dxfId="216" priority="126" operator="equal">
      <formula>"WAS"</formula>
    </cfRule>
    <cfRule type="cellIs" dxfId="215" priority="127" operator="equal">
      <formula>"CLE"</formula>
    </cfRule>
    <cfRule type="cellIs" dxfId="214" priority="128" operator="equal">
      <formula>"CIN"</formula>
    </cfRule>
    <cfRule type="cellIs" dxfId="213" priority="129" operator="equal">
      <formula>"MIA"</formula>
    </cfRule>
  </conditionalFormatting>
  <conditionalFormatting sqref="C25:P38">
    <cfRule type="colorScale" priority="162">
      <colorScale>
        <cfvo type="min"/>
        <cfvo type="max"/>
        <color rgb="FFFCFCFF"/>
        <color rgb="FF63BE7B"/>
      </colorScale>
    </cfRule>
  </conditionalFormatting>
  <conditionalFormatting sqref="Q25:R38">
    <cfRule type="colorScale" priority="65">
      <colorScale>
        <cfvo type="min"/>
        <cfvo type="max"/>
        <color rgb="FFFCFCFF"/>
        <color rgb="FF63BE7B"/>
      </colorScale>
    </cfRule>
  </conditionalFormatting>
  <conditionalFormatting sqref="S6:S19">
    <cfRule type="cellIs" dxfId="96" priority="1" operator="equal">
      <formula>"PHI"</formula>
    </cfRule>
    <cfRule type="cellIs" dxfId="95" priority="2" operator="equal">
      <formula>"GB"</formula>
    </cfRule>
    <cfRule type="cellIs" dxfId="94" priority="3" operator="equal">
      <formula>"MIN"</formula>
    </cfRule>
    <cfRule type="cellIs" dxfId="93" priority="4" operator="equal">
      <formula>"NYG"</formula>
    </cfRule>
    <cfRule type="cellIs" dxfId="92" priority="5" operator="equal">
      <formula>"PIT"</formula>
    </cfRule>
    <cfRule type="cellIs" dxfId="91" priority="6" operator="equal">
      <formula>"KC"</formula>
    </cfRule>
    <cfRule type="cellIs" dxfId="90" priority="7" operator="equal">
      <formula>"ARI"</formula>
    </cfRule>
    <cfRule type="cellIs" dxfId="89" priority="8" operator="equal">
      <formula>"LA"</formula>
    </cfRule>
    <cfRule type="cellIs" dxfId="88" priority="9" operator="equal">
      <formula>"SD"</formula>
    </cfRule>
    <cfRule type="cellIs" dxfId="87" priority="10" operator="equal">
      <formula>"NO"</formula>
    </cfRule>
    <cfRule type="cellIs" dxfId="86" priority="11" operator="equal">
      <formula>"SF"</formula>
    </cfRule>
    <cfRule type="cellIs" dxfId="85" priority="12" operator="equal">
      <formula>"DAL"</formula>
    </cfRule>
    <cfRule type="cellIs" dxfId="84" priority="13" operator="equal">
      <formula>"TB"</formula>
    </cfRule>
    <cfRule type="cellIs" dxfId="83" priority="14" operator="equal">
      <formula>"DEN"</formula>
    </cfRule>
    <cfRule type="cellIs" dxfId="82" priority="15" operator="equal">
      <formula>"BAL"</formula>
    </cfRule>
    <cfRule type="cellIs" dxfId="81" priority="16" operator="equal">
      <formula>"OAK"</formula>
    </cfRule>
    <cfRule type="cellIs" dxfId="80" priority="17" operator="equal">
      <formula>"HOU"</formula>
    </cfRule>
    <cfRule type="cellIs" dxfId="79" priority="18" operator="equal">
      <formula>"TEN"</formula>
    </cfRule>
    <cfRule type="cellIs" dxfId="78" priority="19" operator="equal">
      <formula>"CHI"</formula>
    </cfRule>
    <cfRule type="cellIs" dxfId="77" priority="20" operator="equal">
      <formula>"DET"</formula>
    </cfRule>
    <cfRule type="cellIs" dxfId="76" priority="21" operator="equal">
      <formula>"ATL"</formula>
    </cfRule>
    <cfRule type="cellIs" dxfId="75" priority="22" operator="equal">
      <formula>"CAR"</formula>
    </cfRule>
    <cfRule type="cellIs" dxfId="74" priority="23" operator="equal">
      <formula>"IND"</formula>
    </cfRule>
    <cfRule type="cellIs" dxfId="73" priority="24" operator="equal">
      <formula>"JAX"</formula>
    </cfRule>
    <cfRule type="cellIs" dxfId="72" priority="25" operator="equal">
      <formula>"NYJ"</formula>
    </cfRule>
    <cfRule type="cellIs" dxfId="71" priority="26" operator="equal">
      <formula>"SEA"</formula>
    </cfRule>
    <cfRule type="cellIs" dxfId="70" priority="27" operator="equal">
      <formula>"NE"</formula>
    </cfRule>
    <cfRule type="cellIs" dxfId="69" priority="28" operator="equal">
      <formula>"BUF"</formula>
    </cfRule>
    <cfRule type="cellIs" dxfId="68" priority="29" operator="equal">
      <formula>"WAS"</formula>
    </cfRule>
    <cfRule type="cellIs" dxfId="67" priority="30" operator="equal">
      <formula>"CLE"</formula>
    </cfRule>
    <cfRule type="cellIs" dxfId="66" priority="31" operator="equal">
      <formula>"CIN"</formula>
    </cfRule>
    <cfRule type="cellIs" dxfId="65" priority="32" operator="equal">
      <formula>"MIA"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U62"/>
  <sheetViews>
    <sheetView showGridLines="0" zoomScale="75" zoomScaleNormal="75" workbookViewId="0"/>
  </sheetViews>
  <sheetFormatPr defaultRowHeight="14.5" x14ac:dyDescent="0.35"/>
  <cols>
    <col min="1" max="1" width="8.7265625" style="276"/>
    <col min="2" max="2" width="7.26953125" style="276" customWidth="1"/>
    <col min="3" max="3" width="12.36328125" customWidth="1"/>
    <col min="4" max="21" width="9.6328125" customWidth="1"/>
  </cols>
  <sheetData>
    <row r="1" spans="1:21" x14ac:dyDescent="0.35">
      <c r="A1" s="52" t="s">
        <v>371</v>
      </c>
      <c r="B1" s="276" t="s">
        <v>371</v>
      </c>
      <c r="C1" s="2"/>
      <c r="D1" s="2"/>
    </row>
    <row r="2" spans="1:21" x14ac:dyDescent="0.35">
      <c r="B2" s="277"/>
      <c r="C2" s="2"/>
      <c r="D2" s="2"/>
    </row>
    <row r="3" spans="1:21" x14ac:dyDescent="0.35">
      <c r="C3" s="2"/>
      <c r="D3" s="2"/>
    </row>
    <row r="4" spans="1:21" ht="15" thickBot="1" x14ac:dyDescent="0.4">
      <c r="C4" s="7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4"/>
      <c r="U4" s="4"/>
    </row>
    <row r="5" spans="1:21" ht="15.5" thickTop="1" thickBot="1" x14ac:dyDescent="0.4">
      <c r="C5" s="12" t="s">
        <v>372</v>
      </c>
      <c r="D5" s="13" t="s">
        <v>39</v>
      </c>
      <c r="E5" s="13" t="s">
        <v>40</v>
      </c>
      <c r="F5" s="13" t="s">
        <v>41</v>
      </c>
      <c r="G5" s="13" t="s">
        <v>42</v>
      </c>
      <c r="H5" s="13" t="s">
        <v>43</v>
      </c>
      <c r="I5" s="13" t="s">
        <v>44</v>
      </c>
      <c r="J5" s="13" t="s">
        <v>45</v>
      </c>
      <c r="K5" s="13" t="s">
        <v>46</v>
      </c>
      <c r="L5" s="13" t="s">
        <v>47</v>
      </c>
      <c r="M5" s="13" t="s">
        <v>48</v>
      </c>
      <c r="N5" s="13" t="s">
        <v>49</v>
      </c>
      <c r="O5" s="13" t="s">
        <v>50</v>
      </c>
      <c r="P5" s="13" t="s">
        <v>51</v>
      </c>
      <c r="Q5" s="13" t="s">
        <v>52</v>
      </c>
      <c r="R5" s="13" t="s">
        <v>53</v>
      </c>
      <c r="S5" s="13" t="s">
        <v>54</v>
      </c>
      <c r="T5" s="14" t="s">
        <v>55</v>
      </c>
      <c r="U5" s="163" t="s">
        <v>38</v>
      </c>
    </row>
    <row r="6" spans="1:21" ht="15" thickTop="1" x14ac:dyDescent="0.35">
      <c r="C6" s="22" t="s">
        <v>3</v>
      </c>
      <c r="D6" s="33">
        <f>'Week 1'!S6</f>
        <v>8</v>
      </c>
      <c r="E6" s="122">
        <f>'Week 2'!S6</f>
        <v>9</v>
      </c>
      <c r="F6" s="122">
        <f>'Week 3'!S6</f>
        <v>8</v>
      </c>
      <c r="G6" s="122">
        <f>'Week 4'!S6</f>
        <v>7</v>
      </c>
      <c r="H6" s="122">
        <f>'Week 5'!S6</f>
        <v>11</v>
      </c>
      <c r="I6" s="122">
        <f>'Week 6'!S6</f>
        <v>11</v>
      </c>
      <c r="J6" s="122">
        <f>'Week 7'!S6</f>
        <v>9</v>
      </c>
      <c r="K6" s="122">
        <f>'Week 8'!S6</f>
        <v>9</v>
      </c>
      <c r="L6" s="122">
        <f>'Week 9'!S6</f>
        <v>11</v>
      </c>
      <c r="M6" s="122">
        <f>'Week 10'!S6</f>
        <v>6</v>
      </c>
      <c r="N6" s="122">
        <f>'Week 11'!S6</f>
        <v>10</v>
      </c>
      <c r="O6" s="122">
        <f>'Week 12'!S6</f>
        <v>14</v>
      </c>
      <c r="P6" s="122">
        <f>'Week 13'!R6</f>
        <v>11</v>
      </c>
      <c r="Q6" s="122">
        <f>'Week 14'!S6</f>
        <v>12</v>
      </c>
      <c r="R6" s="122">
        <f>'Week 15'!S6</f>
        <v>12</v>
      </c>
      <c r="S6" s="122">
        <f>'Week 16'!S6</f>
        <v>7</v>
      </c>
      <c r="T6" s="122"/>
      <c r="U6" s="154">
        <f t="shared" ref="U6:U14" si="0">SUM(D6:T6)</f>
        <v>155</v>
      </c>
    </row>
    <row r="7" spans="1:21" x14ac:dyDescent="0.35">
      <c r="C7" s="22" t="s">
        <v>29</v>
      </c>
      <c r="D7" s="34">
        <f>'Week 1'!S7</f>
        <v>12</v>
      </c>
      <c r="E7" s="123">
        <f>'Week 2'!S7</f>
        <v>8</v>
      </c>
      <c r="F7" s="123">
        <f>'Week 3'!S7</f>
        <v>9</v>
      </c>
      <c r="G7" s="123">
        <f>'Week 4'!S7</f>
        <v>8</v>
      </c>
      <c r="H7" s="123">
        <f>'Week 5'!S7</f>
        <v>9</v>
      </c>
      <c r="I7" s="123">
        <f>'Week 6'!S7</f>
        <v>10</v>
      </c>
      <c r="J7" s="123">
        <f>'Week 7'!S7</f>
        <v>8</v>
      </c>
      <c r="K7" s="123">
        <f>'Week 8'!S7</f>
        <v>7</v>
      </c>
      <c r="L7" s="123">
        <f>'Week 9'!S7</f>
        <v>8</v>
      </c>
      <c r="M7" s="123">
        <f>'Week 10'!S7</f>
        <v>9</v>
      </c>
      <c r="N7" s="123">
        <f>'Week 11'!S7</f>
        <v>10</v>
      </c>
      <c r="O7" s="123">
        <f>'Week 12'!S7</f>
        <v>11</v>
      </c>
      <c r="P7" s="123">
        <f>'Week 13'!R7</f>
        <v>11</v>
      </c>
      <c r="Q7" s="123">
        <f>'Week 14'!S7</f>
        <v>12</v>
      </c>
      <c r="R7" s="123">
        <f>'Week 15'!S7</f>
        <v>12</v>
      </c>
      <c r="S7" s="123">
        <f>'Week 16'!S7</f>
        <v>9</v>
      </c>
      <c r="T7" s="123"/>
      <c r="U7" s="155">
        <f t="shared" si="0"/>
        <v>153</v>
      </c>
    </row>
    <row r="8" spans="1:21" x14ac:dyDescent="0.35">
      <c r="C8" s="22" t="s">
        <v>30</v>
      </c>
      <c r="D8" s="34">
        <f>'Week 1'!S8</f>
        <v>9</v>
      </c>
      <c r="E8" s="123">
        <f>'Week 2'!S8</f>
        <v>8</v>
      </c>
      <c r="F8" s="123">
        <f>'Week 3'!S8</f>
        <v>9</v>
      </c>
      <c r="G8" s="123">
        <f>'Week 4'!S8</f>
        <v>9</v>
      </c>
      <c r="H8" s="123">
        <f>'Week 5'!S8</f>
        <v>10</v>
      </c>
      <c r="I8" s="123">
        <f>'Week 6'!S8</f>
        <v>10</v>
      </c>
      <c r="J8" s="123">
        <f>'Week 7'!S8</f>
        <v>9</v>
      </c>
      <c r="K8" s="123">
        <f>'Week 8'!S8</f>
        <v>8</v>
      </c>
      <c r="L8" s="123">
        <f>'Week 9'!S8</f>
        <v>10</v>
      </c>
      <c r="M8" s="273">
        <f>'Week 10'!S8</f>
        <v>4</v>
      </c>
      <c r="N8" s="123">
        <f>'Week 11'!S8</f>
        <v>10</v>
      </c>
      <c r="O8" s="123">
        <f>'Week 12'!S8</f>
        <v>11</v>
      </c>
      <c r="P8" s="123">
        <f>'Week 13'!R8</f>
        <v>8</v>
      </c>
      <c r="Q8" s="123">
        <f>'Week 14'!S8</f>
        <v>9</v>
      </c>
      <c r="R8" s="123">
        <f>'Week 15'!S8</f>
        <v>12</v>
      </c>
      <c r="S8" s="123">
        <f>'Week 16'!S8</f>
        <v>9</v>
      </c>
      <c r="T8" s="123"/>
      <c r="U8" s="155">
        <f t="shared" si="0"/>
        <v>145</v>
      </c>
    </row>
    <row r="9" spans="1:21" x14ac:dyDescent="0.35">
      <c r="C9" s="22" t="s">
        <v>31</v>
      </c>
      <c r="D9" s="34">
        <f>'Week 1'!S9</f>
        <v>12</v>
      </c>
      <c r="E9" s="123">
        <f>'Week 2'!S9</f>
        <v>10</v>
      </c>
      <c r="F9" s="123">
        <f>'Week 3'!S9</f>
        <v>9</v>
      </c>
      <c r="G9" s="123">
        <f>'Week 4'!S9</f>
        <v>10</v>
      </c>
      <c r="H9" s="123">
        <f>'Week 5'!S9</f>
        <v>9</v>
      </c>
      <c r="I9" s="123">
        <f>'Week 6'!S9</f>
        <v>7</v>
      </c>
      <c r="J9" s="123">
        <f>'Week 7'!S9</f>
        <v>7</v>
      </c>
      <c r="K9" s="123">
        <f>'Week 8'!S9</f>
        <v>5</v>
      </c>
      <c r="L9" s="123">
        <f>'Week 9'!S9</f>
        <v>8</v>
      </c>
      <c r="M9" s="123">
        <f>'Week 10'!S9</f>
        <v>6</v>
      </c>
      <c r="N9" s="123">
        <f>'Week 11'!S9</f>
        <v>9</v>
      </c>
      <c r="O9" s="123">
        <f>'Week 12'!S9</f>
        <v>10</v>
      </c>
      <c r="P9" s="123">
        <f>'Week 13'!R9</f>
        <v>12</v>
      </c>
      <c r="Q9" s="123">
        <f>'Week 14'!S9</f>
        <v>7</v>
      </c>
      <c r="R9" s="123">
        <f>'Week 15'!S9</f>
        <v>1</v>
      </c>
      <c r="S9" s="123">
        <f>'Week 16'!S9</f>
        <v>0</v>
      </c>
      <c r="T9" s="123"/>
      <c r="U9" s="155">
        <f t="shared" si="0"/>
        <v>122</v>
      </c>
    </row>
    <row r="10" spans="1:21" x14ac:dyDescent="0.35">
      <c r="C10" s="22" t="s">
        <v>32</v>
      </c>
      <c r="D10" s="34">
        <f>'Week 1'!S10</f>
        <v>9</v>
      </c>
      <c r="E10" s="123">
        <f>'Week 2'!S10</f>
        <v>8</v>
      </c>
      <c r="F10" s="123">
        <f>'Week 3'!S10</f>
        <v>8</v>
      </c>
      <c r="G10" s="123">
        <f>'Week 4'!S10</f>
        <v>9</v>
      </c>
      <c r="H10" s="123">
        <f>'Week 5'!S10</f>
        <v>9</v>
      </c>
      <c r="I10" s="123">
        <f>'Week 6'!S10</f>
        <v>11</v>
      </c>
      <c r="J10" s="123">
        <f>'Week 7'!S10</f>
        <v>10</v>
      </c>
      <c r="K10" s="123">
        <f>'Week 8'!S10</f>
        <v>9</v>
      </c>
      <c r="L10" s="123">
        <f>'Week 9'!S10</f>
        <v>9</v>
      </c>
      <c r="M10" s="123">
        <f>'Week 10'!S10</f>
        <v>6</v>
      </c>
      <c r="N10" s="123">
        <f>'Week 11'!S10</f>
        <v>11</v>
      </c>
      <c r="O10" s="123">
        <f>'Week 12'!S10</f>
        <v>13</v>
      </c>
      <c r="P10" s="123">
        <f>'Week 13'!R10</f>
        <v>14</v>
      </c>
      <c r="Q10" s="123">
        <f>'Week 14'!S10</f>
        <v>11</v>
      </c>
      <c r="R10" s="123">
        <f>'Week 15'!S10</f>
        <v>10</v>
      </c>
      <c r="S10" s="123">
        <f>'Week 16'!S10</f>
        <v>9</v>
      </c>
      <c r="T10" s="123"/>
      <c r="U10" s="155">
        <f t="shared" si="0"/>
        <v>156</v>
      </c>
    </row>
    <row r="11" spans="1:21" x14ac:dyDescent="0.35">
      <c r="C11" s="22" t="s">
        <v>35</v>
      </c>
      <c r="D11" s="34">
        <f>'Week 1'!S11</f>
        <v>11</v>
      </c>
      <c r="E11" s="123">
        <f>'Week 2'!S11</f>
        <v>11</v>
      </c>
      <c r="F11" s="123">
        <f>'Week 3'!S11</f>
        <v>9</v>
      </c>
      <c r="G11" s="123">
        <f>'Week 4'!S11</f>
        <v>8</v>
      </c>
      <c r="H11" s="123">
        <f>'Week 5'!S11</f>
        <v>11</v>
      </c>
      <c r="I11" s="123">
        <f>'Week 6'!S11</f>
        <v>8</v>
      </c>
      <c r="J11" s="123">
        <f>'Week 7'!S11</f>
        <v>9</v>
      </c>
      <c r="K11" s="123">
        <f>'Week 8'!S11</f>
        <v>8</v>
      </c>
      <c r="L11" s="123">
        <f>'Week 9'!S11</f>
        <v>8</v>
      </c>
      <c r="M11" s="123">
        <f>'Week 10'!S11</f>
        <v>5</v>
      </c>
      <c r="N11" s="123">
        <f>'Week 11'!S11</f>
        <v>8</v>
      </c>
      <c r="O11" s="123">
        <f>'Week 12'!S11</f>
        <v>13</v>
      </c>
      <c r="P11" s="123">
        <f>'Week 13'!R11</f>
        <v>11</v>
      </c>
      <c r="Q11" s="123">
        <f>'Week 14'!S11</f>
        <v>13</v>
      </c>
      <c r="R11" s="123">
        <f>'Week 15'!S11</f>
        <v>13</v>
      </c>
      <c r="S11" s="123">
        <f>'Week 16'!S11</f>
        <v>8</v>
      </c>
      <c r="T11" s="123"/>
      <c r="U11" s="155">
        <f t="shared" si="0"/>
        <v>154</v>
      </c>
    </row>
    <row r="12" spans="1:21" x14ac:dyDescent="0.35">
      <c r="C12" s="29" t="s">
        <v>36</v>
      </c>
      <c r="D12" s="34">
        <f>'Week 1'!S12</f>
        <v>10</v>
      </c>
      <c r="E12" s="123">
        <f>'Week 2'!S12</f>
        <v>10</v>
      </c>
      <c r="F12" s="123">
        <f>'Week 3'!S12</f>
        <v>11</v>
      </c>
      <c r="G12" s="123">
        <f>'Week 4'!S12</f>
        <v>7</v>
      </c>
      <c r="H12" s="123">
        <f>'Week 5'!S12</f>
        <v>7</v>
      </c>
      <c r="I12" s="123">
        <f>'Week 6'!S12</f>
        <v>8</v>
      </c>
      <c r="J12" s="123">
        <f>'Week 7'!S12</f>
        <v>9</v>
      </c>
      <c r="K12" s="123">
        <f>'Week 8'!S12</f>
        <v>8</v>
      </c>
      <c r="L12" s="123">
        <f>'Week 9'!S12</f>
        <v>9</v>
      </c>
      <c r="M12" s="123">
        <f>'Week 10'!S12</f>
        <v>5</v>
      </c>
      <c r="N12" s="123">
        <f>'Week 11'!S12</f>
        <v>10</v>
      </c>
      <c r="O12" s="123">
        <f>'Week 12'!S12</f>
        <v>14</v>
      </c>
      <c r="P12" s="123">
        <f>'Week 13'!R12</f>
        <v>10</v>
      </c>
      <c r="Q12" s="123">
        <f>'Week 14'!S12</f>
        <v>11</v>
      </c>
      <c r="R12" s="123">
        <f>'Week 15'!S12</f>
        <v>12</v>
      </c>
      <c r="S12" s="123">
        <f>'Week 16'!S12</f>
        <v>9</v>
      </c>
      <c r="T12" s="123"/>
      <c r="U12" s="155">
        <f t="shared" si="0"/>
        <v>150</v>
      </c>
    </row>
    <row r="13" spans="1:21" x14ac:dyDescent="0.35">
      <c r="C13" s="29" t="s">
        <v>37</v>
      </c>
      <c r="D13" s="34">
        <f>'Week 1'!S13</f>
        <v>10</v>
      </c>
      <c r="E13" s="123">
        <f>'Week 2'!S13</f>
        <v>10</v>
      </c>
      <c r="F13" s="123">
        <f>'Week 3'!S13</f>
        <v>10</v>
      </c>
      <c r="G13" s="123">
        <f>'Week 4'!S13</f>
        <v>7</v>
      </c>
      <c r="H13" s="123">
        <f>'Week 5'!S13</f>
        <v>7</v>
      </c>
      <c r="I13" s="123">
        <f>'Week 6'!S13</f>
        <v>7</v>
      </c>
      <c r="J13" s="123">
        <f>'Week 7'!S13</f>
        <v>8</v>
      </c>
      <c r="K13" s="123">
        <f>'Week 8'!S13</f>
        <v>8</v>
      </c>
      <c r="L13" s="123">
        <f>'Week 9'!S13</f>
        <v>9</v>
      </c>
      <c r="M13" s="123">
        <f>'Week 10'!S13</f>
        <v>7</v>
      </c>
      <c r="N13" s="123">
        <f>'Week 11'!S13</f>
        <v>13</v>
      </c>
      <c r="O13" s="123">
        <f>'Week 12'!S13</f>
        <v>13</v>
      </c>
      <c r="P13" s="123">
        <f>'Week 13'!R13</f>
        <v>11</v>
      </c>
      <c r="Q13" s="123">
        <f>'Week 14'!S13</f>
        <v>10</v>
      </c>
      <c r="R13" s="123">
        <f>'Week 15'!S13</f>
        <v>11</v>
      </c>
      <c r="S13" s="123">
        <f>'Week 16'!S13</f>
        <v>0</v>
      </c>
      <c r="T13" s="123"/>
      <c r="U13" s="155">
        <f t="shared" si="0"/>
        <v>141</v>
      </c>
    </row>
    <row r="14" spans="1:21" x14ac:dyDescent="0.35">
      <c r="B14" s="278"/>
      <c r="C14" s="29" t="s">
        <v>57</v>
      </c>
      <c r="D14" s="123">
        <f>'Week 1'!S14</f>
        <v>11</v>
      </c>
      <c r="E14" s="123">
        <f>'Week 2'!S14</f>
        <v>8</v>
      </c>
      <c r="F14" s="123">
        <f>'Week 3'!S14</f>
        <v>8</v>
      </c>
      <c r="G14" s="123">
        <f>'Week 4'!S14</f>
        <v>6</v>
      </c>
      <c r="H14" s="123">
        <f>'Week 5'!S14</f>
        <v>8</v>
      </c>
      <c r="I14" s="123">
        <f>'Week 6'!S14</f>
        <v>10</v>
      </c>
      <c r="J14" s="123">
        <f>'Week 7'!S14</f>
        <v>9</v>
      </c>
      <c r="K14" s="123">
        <f>'Week 8'!S14</f>
        <v>10</v>
      </c>
      <c r="L14" s="123">
        <f>'Week 9'!S14</f>
        <v>9</v>
      </c>
      <c r="M14" s="123">
        <f>'Week 10'!S14</f>
        <v>5</v>
      </c>
      <c r="N14" s="123">
        <f>'Week 11'!S14</f>
        <v>12</v>
      </c>
      <c r="O14" s="123">
        <f>'Week 12'!S14</f>
        <v>12</v>
      </c>
      <c r="P14" s="123">
        <f>'Week 13'!R14</f>
        <v>13</v>
      </c>
      <c r="Q14" s="123">
        <f>'Week 14'!S14</f>
        <v>12</v>
      </c>
      <c r="R14" s="123">
        <f>'Week 15'!S14</f>
        <v>11</v>
      </c>
      <c r="S14" s="123">
        <f>'Week 16'!S14</f>
        <v>7</v>
      </c>
      <c r="T14" s="123"/>
      <c r="U14" s="193">
        <f t="shared" si="0"/>
        <v>151</v>
      </c>
    </row>
    <row r="15" spans="1:21" s="185" customFormat="1" hidden="1" x14ac:dyDescent="0.35">
      <c r="A15" s="276"/>
      <c r="B15" s="278"/>
      <c r="C15" s="188" t="s">
        <v>379</v>
      </c>
      <c r="D15" s="207" t="s">
        <v>166</v>
      </c>
      <c r="E15" s="207" t="s">
        <v>166</v>
      </c>
      <c r="F15" s="207" t="s">
        <v>166</v>
      </c>
      <c r="G15" s="207" t="s">
        <v>166</v>
      </c>
      <c r="H15" s="207" t="s">
        <v>166</v>
      </c>
      <c r="I15" s="207" t="s">
        <v>166</v>
      </c>
      <c r="J15" s="207" t="s">
        <v>166</v>
      </c>
      <c r="K15" s="207" t="s">
        <v>166</v>
      </c>
      <c r="L15" s="206">
        <f>'Week 9'!S15</f>
        <v>8</v>
      </c>
      <c r="M15" s="205">
        <f>'Week 10'!S15</f>
        <v>8</v>
      </c>
      <c r="N15" s="205">
        <f>'Week 11'!S15</f>
        <v>8</v>
      </c>
      <c r="O15" s="205">
        <f>'Week 12'!S15</f>
        <v>11</v>
      </c>
      <c r="P15" s="205">
        <f>'Week 13'!R15</f>
        <v>10</v>
      </c>
      <c r="Q15" s="205">
        <f>'Week 14'!S15</f>
        <v>13</v>
      </c>
      <c r="R15" s="205">
        <f>'Week 15'!S15</f>
        <v>13</v>
      </c>
      <c r="S15" s="205"/>
      <c r="T15" s="195"/>
      <c r="U15" s="193">
        <f>SUM(D15:T15)</f>
        <v>71</v>
      </c>
    </row>
    <row r="16" spans="1:21" s="185" customFormat="1" hidden="1" x14ac:dyDescent="0.35">
      <c r="A16" s="276"/>
      <c r="B16" s="278"/>
      <c r="C16" s="188" t="s">
        <v>380</v>
      </c>
      <c r="D16" s="207" t="s">
        <v>166</v>
      </c>
      <c r="E16" s="207" t="s">
        <v>166</v>
      </c>
      <c r="F16" s="207" t="s">
        <v>166</v>
      </c>
      <c r="G16" s="207" t="s">
        <v>166</v>
      </c>
      <c r="H16" s="207" t="s">
        <v>166</v>
      </c>
      <c r="I16" s="207" t="s">
        <v>166</v>
      </c>
      <c r="J16" s="207" t="s">
        <v>166</v>
      </c>
      <c r="K16" s="207" t="s">
        <v>166</v>
      </c>
      <c r="L16" s="206">
        <f>'Week 9'!S16</f>
        <v>9</v>
      </c>
      <c r="M16" s="205">
        <f>'Week 10'!S16</f>
        <v>8</v>
      </c>
      <c r="N16" s="205">
        <f>'Week 11'!S16</f>
        <v>9</v>
      </c>
      <c r="O16" s="205">
        <f>'Week 12'!S16</f>
        <v>14</v>
      </c>
      <c r="P16" s="205">
        <f>'Week 13'!R16</f>
        <v>12</v>
      </c>
      <c r="Q16" s="205">
        <f>'Week 14'!S16</f>
        <v>9</v>
      </c>
      <c r="R16" s="205">
        <f>'Week 15'!S16</f>
        <v>12</v>
      </c>
      <c r="S16" s="205"/>
      <c r="T16" s="195"/>
      <c r="U16" s="193">
        <f>SUM(D16:T16)</f>
        <v>73</v>
      </c>
    </row>
    <row r="17" spans="1:21" s="185" customFormat="1" hidden="1" x14ac:dyDescent="0.35">
      <c r="A17" s="276"/>
      <c r="B17" s="278"/>
      <c r="C17" s="188" t="s">
        <v>381</v>
      </c>
      <c r="D17" s="207" t="s">
        <v>166</v>
      </c>
      <c r="E17" s="207" t="s">
        <v>166</v>
      </c>
      <c r="F17" s="207" t="s">
        <v>166</v>
      </c>
      <c r="G17" s="207" t="s">
        <v>166</v>
      </c>
      <c r="H17" s="207" t="s">
        <v>166</v>
      </c>
      <c r="I17" s="207" t="s">
        <v>166</v>
      </c>
      <c r="J17" s="207" t="s">
        <v>166</v>
      </c>
      <c r="K17" s="207" t="s">
        <v>166</v>
      </c>
      <c r="L17" s="206">
        <f>'Week 9'!S17</f>
        <v>9</v>
      </c>
      <c r="M17" s="205">
        <f>'Week 10'!S17</f>
        <v>5</v>
      </c>
      <c r="N17" s="205">
        <f>'Week 11'!S17</f>
        <v>11</v>
      </c>
      <c r="O17" s="205">
        <f>'Week 12'!S17</f>
        <v>11</v>
      </c>
      <c r="P17" s="205">
        <f>'Week 13'!R17</f>
        <v>9</v>
      </c>
      <c r="Q17" s="205">
        <f>'Week 14'!S17</f>
        <v>11</v>
      </c>
      <c r="R17" s="205">
        <f>'Week 15'!S17</f>
        <v>9</v>
      </c>
      <c r="S17" s="205"/>
      <c r="T17" s="195"/>
      <c r="U17" s="193">
        <f>SUM(D17:T17)</f>
        <v>65</v>
      </c>
    </row>
    <row r="18" spans="1:21" s="185" customFormat="1" hidden="1" x14ac:dyDescent="0.35">
      <c r="A18" s="276"/>
      <c r="B18" s="278"/>
      <c r="C18" s="188" t="s">
        <v>387</v>
      </c>
      <c r="D18" s="207" t="s">
        <v>166</v>
      </c>
      <c r="E18" s="207" t="s">
        <v>166</v>
      </c>
      <c r="F18" s="207" t="s">
        <v>166</v>
      </c>
      <c r="G18" s="207" t="s">
        <v>166</v>
      </c>
      <c r="H18" s="207" t="s">
        <v>166</v>
      </c>
      <c r="I18" s="207" t="s">
        <v>166</v>
      </c>
      <c r="J18" s="207" t="s">
        <v>166</v>
      </c>
      <c r="K18" s="207" t="s">
        <v>166</v>
      </c>
      <c r="L18" s="206">
        <f>'Week 9'!S18</f>
        <v>8</v>
      </c>
      <c r="M18" s="205">
        <f>'Week 10'!S18</f>
        <v>7</v>
      </c>
      <c r="N18" s="205">
        <f>'Week 11'!S18</f>
        <v>8</v>
      </c>
      <c r="O18" s="205">
        <f>'Week 12'!S18</f>
        <v>13</v>
      </c>
      <c r="P18" s="205">
        <f>'Week 13'!R18</f>
        <v>11</v>
      </c>
      <c r="Q18" s="205">
        <f>'Week 14'!S18</f>
        <v>11</v>
      </c>
      <c r="R18" s="205">
        <f>'Week 15'!S18</f>
        <v>12</v>
      </c>
      <c r="S18" s="205"/>
      <c r="T18" s="195"/>
      <c r="U18" s="193">
        <f>SUM(D18:T18)</f>
        <v>70</v>
      </c>
    </row>
    <row r="19" spans="1:21" s="185" customFormat="1" hidden="1" x14ac:dyDescent="0.35">
      <c r="A19" s="276"/>
      <c r="B19" s="278"/>
      <c r="C19" s="188" t="s">
        <v>389</v>
      </c>
      <c r="D19" s="207" t="s">
        <v>166</v>
      </c>
      <c r="E19" s="207" t="s">
        <v>166</v>
      </c>
      <c r="F19" s="207" t="s">
        <v>166</v>
      </c>
      <c r="G19" s="207" t="s">
        <v>166</v>
      </c>
      <c r="H19" s="207" t="s">
        <v>166</v>
      </c>
      <c r="I19" s="207" t="s">
        <v>166</v>
      </c>
      <c r="J19" s="207" t="s">
        <v>166</v>
      </c>
      <c r="K19" s="207" t="s">
        <v>166</v>
      </c>
      <c r="L19" s="206">
        <f>'Week 9'!S19</f>
        <v>9</v>
      </c>
      <c r="M19" s="205">
        <f>'Week 10'!S19</f>
        <v>5</v>
      </c>
      <c r="N19" s="205">
        <f>'Week 11'!S19</f>
        <v>11</v>
      </c>
      <c r="O19" s="205">
        <f>'Week 12'!S19</f>
        <v>14</v>
      </c>
      <c r="P19" s="205">
        <f>'Week 13'!R19</f>
        <v>10</v>
      </c>
      <c r="Q19" s="205">
        <f>'Week 14'!S19</f>
        <v>13</v>
      </c>
      <c r="R19" s="205">
        <f>'Week 15'!S19</f>
        <v>12</v>
      </c>
      <c r="S19" s="205"/>
      <c r="T19" s="195"/>
      <c r="U19" s="193">
        <f>SUM(D19:T19)</f>
        <v>74</v>
      </c>
    </row>
    <row r="20" spans="1:21" s="41" customFormat="1" x14ac:dyDescent="0.35">
      <c r="A20" s="276"/>
      <c r="B20" s="278"/>
      <c r="C20" s="129" t="s">
        <v>375</v>
      </c>
      <c r="D20" s="130">
        <f>SUM(Table1[Week 1])</f>
        <v>92</v>
      </c>
      <c r="E20" s="130">
        <f>SUM(Table1[Week 2])</f>
        <v>82</v>
      </c>
      <c r="F20" s="130">
        <f>SUM(Table1[Week 3])</f>
        <v>81</v>
      </c>
      <c r="G20" s="130">
        <f>SUM(Table1[Week 4])</f>
        <v>71</v>
      </c>
      <c r="H20" s="130">
        <f>SUM(Table1[Week 5])</f>
        <v>81</v>
      </c>
      <c r="I20" s="130">
        <f>SUM(Table1[Week 6])</f>
        <v>82</v>
      </c>
      <c r="J20" s="130">
        <f>SUM(Table1[Week 7])</f>
        <v>78</v>
      </c>
      <c r="K20" s="131">
        <f>SUM(Table1[Week 8])</f>
        <v>72</v>
      </c>
      <c r="L20" s="131">
        <f t="shared" ref="L20:S20" si="1">SUM(L6:L19)</f>
        <v>124</v>
      </c>
      <c r="M20" s="131">
        <f t="shared" si="1"/>
        <v>86</v>
      </c>
      <c r="N20" s="280">
        <f t="shared" si="1"/>
        <v>140</v>
      </c>
      <c r="O20" s="280">
        <f t="shared" si="1"/>
        <v>174</v>
      </c>
      <c r="P20" s="280">
        <f t="shared" si="1"/>
        <v>153</v>
      </c>
      <c r="Q20" s="351">
        <f t="shared" si="1"/>
        <v>154</v>
      </c>
      <c r="R20" s="351">
        <f t="shared" si="1"/>
        <v>152</v>
      </c>
      <c r="S20" s="351">
        <f t="shared" si="1"/>
        <v>58</v>
      </c>
      <c r="T20" s="131"/>
      <c r="U20" s="160">
        <f>SUM(D20:Q20)</f>
        <v>1470</v>
      </c>
    </row>
    <row r="21" spans="1:21" ht="15" thickBot="1" x14ac:dyDescent="0.4">
      <c r="B21" s="278"/>
      <c r="C21" s="132" t="s">
        <v>373</v>
      </c>
      <c r="D21" s="133">
        <f>16*9</f>
        <v>144</v>
      </c>
      <c r="E21" s="133">
        <f>16*9</f>
        <v>144</v>
      </c>
      <c r="F21" s="133">
        <f>16*9</f>
        <v>144</v>
      </c>
      <c r="G21" s="133">
        <f>15*9</f>
        <v>135</v>
      </c>
      <c r="H21" s="133">
        <f>14*9</f>
        <v>126</v>
      </c>
      <c r="I21" s="133">
        <v>135</v>
      </c>
      <c r="J21" s="133">
        <v>135</v>
      </c>
      <c r="K21" s="133">
        <f>13*9</f>
        <v>117</v>
      </c>
      <c r="L21" s="133">
        <f>14*13</f>
        <v>182</v>
      </c>
      <c r="M21" s="133">
        <f>14*14</f>
        <v>196</v>
      </c>
      <c r="N21" s="281">
        <f>14*14</f>
        <v>196</v>
      </c>
      <c r="O21" s="133">
        <f>16*14</f>
        <v>224</v>
      </c>
      <c r="P21" s="133">
        <f>14*15</f>
        <v>210</v>
      </c>
      <c r="Q21" s="352">
        <f>16*14</f>
        <v>224</v>
      </c>
      <c r="R21" s="352">
        <f>16*14</f>
        <v>224</v>
      </c>
      <c r="S21" s="352">
        <f>16*14</f>
        <v>224</v>
      </c>
      <c r="T21" s="352">
        <f>16*14</f>
        <v>224</v>
      </c>
      <c r="U21" s="161">
        <f>SUM(Table6[[#This Row],[92]:[010]])</f>
        <v>2312</v>
      </c>
    </row>
    <row r="22" spans="1:21" ht="15" thickBot="1" x14ac:dyDescent="0.4">
      <c r="B22" s="278"/>
      <c r="C22" s="275" t="s">
        <v>374</v>
      </c>
      <c r="D22" s="283">
        <f>D20/D21</f>
        <v>0.63888888888888884</v>
      </c>
      <c r="E22" s="283">
        <f t="shared" ref="E22:S22" si="2">E20/E21</f>
        <v>0.56944444444444442</v>
      </c>
      <c r="F22" s="283">
        <f t="shared" si="2"/>
        <v>0.5625</v>
      </c>
      <c r="G22" s="283">
        <f t="shared" si="2"/>
        <v>0.52592592592592591</v>
      </c>
      <c r="H22" s="283">
        <f t="shared" si="2"/>
        <v>0.6428571428571429</v>
      </c>
      <c r="I22" s="283">
        <f t="shared" si="2"/>
        <v>0.6074074074074074</v>
      </c>
      <c r="J22" s="283">
        <f t="shared" si="2"/>
        <v>0.57777777777777772</v>
      </c>
      <c r="K22" s="283">
        <f t="shared" si="2"/>
        <v>0.61538461538461542</v>
      </c>
      <c r="L22" s="283">
        <f t="shared" si="2"/>
        <v>0.68131868131868134</v>
      </c>
      <c r="M22" s="283">
        <f t="shared" si="2"/>
        <v>0.43877551020408162</v>
      </c>
      <c r="N22" s="283">
        <f t="shared" si="2"/>
        <v>0.7142857142857143</v>
      </c>
      <c r="O22" s="283">
        <f t="shared" si="2"/>
        <v>0.7767857142857143</v>
      </c>
      <c r="P22" s="283">
        <f t="shared" si="2"/>
        <v>0.72857142857142854</v>
      </c>
      <c r="Q22" s="353">
        <f t="shared" si="2"/>
        <v>0.6875</v>
      </c>
      <c r="R22" s="353">
        <f t="shared" si="2"/>
        <v>0.6785714285714286</v>
      </c>
      <c r="S22" s="353">
        <f t="shared" si="2"/>
        <v>0.25892857142857145</v>
      </c>
      <c r="T22" s="282"/>
      <c r="U22" s="284">
        <f>U20/U21</f>
        <v>0.63581314878892736</v>
      </c>
    </row>
    <row r="23" spans="1:21" ht="15.5" thickTop="1" thickBot="1" x14ac:dyDescent="0.4">
      <c r="C23" s="2"/>
      <c r="D23" s="2"/>
      <c r="J23" s="277"/>
      <c r="K23" s="279"/>
      <c r="L23" s="279"/>
      <c r="M23" s="135"/>
    </row>
    <row r="24" spans="1:21" ht="15.5" thickTop="1" thickBot="1" x14ac:dyDescent="0.4">
      <c r="C24" s="296" t="s">
        <v>376</v>
      </c>
      <c r="D24" s="297">
        <f>AVERAGE(Table1[[Week 1]:[Week 17]])</f>
        <v>9.3854748603351954</v>
      </c>
      <c r="J24" s="22"/>
      <c r="K24" s="134" t="s">
        <v>123</v>
      </c>
      <c r="L24" s="139" t="s">
        <v>124</v>
      </c>
    </row>
    <row r="25" spans="1:21" ht="15" thickTop="1" x14ac:dyDescent="0.35">
      <c r="C25" s="2"/>
      <c r="D25" s="2"/>
      <c r="J25" s="22"/>
      <c r="K25" s="358" t="s">
        <v>32</v>
      </c>
      <c r="L25" s="358">
        <v>156</v>
      </c>
    </row>
    <row r="26" spans="1:21" x14ac:dyDescent="0.35">
      <c r="C26" s="2"/>
      <c r="D26" s="2"/>
      <c r="J26" s="22"/>
      <c r="K26" s="359" t="s">
        <v>3</v>
      </c>
      <c r="L26" s="359">
        <v>155</v>
      </c>
    </row>
    <row r="27" spans="1:21" x14ac:dyDescent="0.35">
      <c r="C27" s="2"/>
      <c r="D27" s="2"/>
      <c r="J27" s="22"/>
      <c r="K27" s="349" t="s">
        <v>35</v>
      </c>
      <c r="L27" s="349">
        <v>154</v>
      </c>
    </row>
    <row r="28" spans="1:21" x14ac:dyDescent="0.35">
      <c r="C28" s="2"/>
      <c r="D28" s="2"/>
      <c r="J28" s="22"/>
      <c r="K28" s="364" t="s">
        <v>29</v>
      </c>
      <c r="L28" s="364">
        <v>153</v>
      </c>
      <c r="N28" t="s">
        <v>371</v>
      </c>
    </row>
    <row r="29" spans="1:21" x14ac:dyDescent="0.35">
      <c r="C29" s="2"/>
      <c r="D29" s="2"/>
      <c r="J29" s="22"/>
      <c r="K29" s="349" t="s">
        <v>57</v>
      </c>
      <c r="L29" s="349">
        <v>151</v>
      </c>
    </row>
    <row r="30" spans="1:21" x14ac:dyDescent="0.35">
      <c r="C30" s="2"/>
      <c r="D30" s="2"/>
      <c r="J30" s="22"/>
      <c r="K30" s="359" t="s">
        <v>36</v>
      </c>
      <c r="L30" s="359">
        <v>150</v>
      </c>
    </row>
    <row r="31" spans="1:21" x14ac:dyDescent="0.35">
      <c r="K31" s="358" t="s">
        <v>30</v>
      </c>
      <c r="L31" s="358">
        <v>145</v>
      </c>
    </row>
    <row r="32" spans="1:21" x14ac:dyDescent="0.35">
      <c r="K32" s="364" t="s">
        <v>37</v>
      </c>
      <c r="L32" s="364">
        <v>141</v>
      </c>
    </row>
    <row r="33" spans="4:15" ht="15" thickBot="1" x14ac:dyDescent="0.4">
      <c r="K33" s="264" t="s">
        <v>31</v>
      </c>
      <c r="L33" s="264">
        <v>122</v>
      </c>
    </row>
    <row r="34" spans="4:15" ht="15" thickTop="1" x14ac:dyDescent="0.35"/>
    <row r="37" spans="4:15" x14ac:dyDescent="0.35"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</row>
    <row r="38" spans="4:15" x14ac:dyDescent="0.35"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</row>
    <row r="39" spans="4:15" x14ac:dyDescent="0.35"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</row>
    <row r="40" spans="4:15" x14ac:dyDescent="0.35"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</row>
    <row r="41" spans="4:15" x14ac:dyDescent="0.35"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</row>
    <row r="42" spans="4:15" x14ac:dyDescent="0.35"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</row>
    <row r="43" spans="4:15" x14ac:dyDescent="0.35"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</row>
    <row r="44" spans="4:15" x14ac:dyDescent="0.35"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</row>
    <row r="45" spans="4:15" x14ac:dyDescent="0.35"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</row>
    <row r="46" spans="4:15" x14ac:dyDescent="0.35">
      <c r="D46" s="41"/>
      <c r="E46" s="41"/>
      <c r="F46" s="41"/>
      <c r="G46" s="41"/>
      <c r="H46" s="41"/>
    </row>
    <row r="54" spans="4:15" x14ac:dyDescent="0.35"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</row>
    <row r="55" spans="4:15" x14ac:dyDescent="0.35"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</row>
    <row r="56" spans="4:15" x14ac:dyDescent="0.35"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</row>
    <row r="57" spans="4:15" x14ac:dyDescent="0.35"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</row>
    <row r="58" spans="4:15" x14ac:dyDescent="0.35"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</row>
    <row r="59" spans="4:15" x14ac:dyDescent="0.35"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</row>
    <row r="60" spans="4:15" x14ac:dyDescent="0.35"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</row>
    <row r="61" spans="4:15" x14ac:dyDescent="0.35"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</row>
    <row r="62" spans="4:15" x14ac:dyDescent="0.35"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</row>
  </sheetData>
  <sortState ref="K25:L33">
    <sortCondition descending="1" ref="L25:L33"/>
  </sortState>
  <conditionalFormatting sqref="D6:D19 E15:K19">
    <cfRule type="top10" dxfId="199" priority="38" rank="1"/>
  </conditionalFormatting>
  <conditionalFormatting sqref="E6:E19">
    <cfRule type="top10" dxfId="198" priority="37" rank="1"/>
  </conditionalFormatting>
  <conditionalFormatting sqref="F6:F19">
    <cfRule type="top10" dxfId="197" priority="36" rank="1"/>
  </conditionalFormatting>
  <conditionalFormatting sqref="G6:G19">
    <cfRule type="top10" dxfId="196" priority="35" rank="1"/>
  </conditionalFormatting>
  <conditionalFormatting sqref="H6:H19">
    <cfRule type="top10" dxfId="195" priority="34" rank="1"/>
  </conditionalFormatting>
  <conditionalFormatting sqref="I6:I19">
    <cfRule type="top10" dxfId="194" priority="33" rank="1"/>
  </conditionalFormatting>
  <conditionalFormatting sqref="J6:J19">
    <cfRule type="top10" dxfId="193" priority="32" rank="1"/>
  </conditionalFormatting>
  <conditionalFormatting sqref="K6:K19">
    <cfRule type="top10" dxfId="192" priority="31" rank="1"/>
  </conditionalFormatting>
  <conditionalFormatting sqref="L6:L19">
    <cfRule type="top10" dxfId="191" priority="30" rank="1"/>
  </conditionalFormatting>
  <conditionalFormatting sqref="M6:M19">
    <cfRule type="top10" dxfId="190" priority="29" rank="1"/>
  </conditionalFormatting>
  <conditionalFormatting sqref="N6:N19">
    <cfRule type="top10" dxfId="189" priority="28" rank="1"/>
  </conditionalFormatting>
  <conditionalFormatting sqref="O6:O19">
    <cfRule type="top10" dxfId="188" priority="27" rank="1"/>
  </conditionalFormatting>
  <conditionalFormatting sqref="P6:P19">
    <cfRule type="top10" dxfId="187" priority="26" rank="1"/>
  </conditionalFormatting>
  <conditionalFormatting sqref="Q6:Q19">
    <cfRule type="top10" dxfId="186" priority="25" rank="1"/>
  </conditionalFormatting>
  <conditionalFormatting sqref="R6:R19">
    <cfRule type="top10" dxfId="185" priority="24" rank="1"/>
  </conditionalFormatting>
  <conditionalFormatting sqref="S6:S19">
    <cfRule type="top10" dxfId="184" priority="23" rank="1"/>
  </conditionalFormatting>
  <conditionalFormatting sqref="T6:T19">
    <cfRule type="top10" dxfId="183" priority="21" rank="1"/>
  </conditionalFormatting>
  <conditionalFormatting sqref="U6:U19">
    <cfRule type="top10" dxfId="182" priority="20" rank="1"/>
  </conditionalFormatting>
  <conditionalFormatting sqref="D6:T19">
    <cfRule type="colorScale" priority="39">
      <colorScale>
        <cfvo type="min"/>
        <cfvo type="max"/>
        <color rgb="FFFCFCFF"/>
        <color rgb="FF63BE7B"/>
      </colorScale>
    </cfRule>
  </conditionalFormatting>
  <conditionalFormatting sqref="O6:O14">
    <cfRule type="top10" dxfId="181" priority="2" rank="1"/>
  </conditionalFormatting>
  <conditionalFormatting sqref="D6:T14">
    <cfRule type="top10" dxfId="180" priority="1" bottom="1" rank="1"/>
  </conditionalFormatting>
  <pageMargins left="0.7" right="0.7" top="0.75" bottom="0.75" header="0.3" footer="0.3"/>
  <pageSetup orientation="portrait" r:id="rId1"/>
  <ignoredErrors>
    <ignoredError sqref="D22:P22 D21:O21 T22:U22" calculatedColumn="1"/>
  </ignoredErrors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35"/>
  <sheetViews>
    <sheetView showGridLines="0" tabSelected="1" zoomScale="74" zoomScaleNormal="74" workbookViewId="0">
      <selection activeCell="N20" sqref="N20"/>
    </sheetView>
  </sheetViews>
  <sheetFormatPr defaultRowHeight="14.5" x14ac:dyDescent="0.35"/>
  <cols>
    <col min="1" max="2" width="8.7265625" style="146"/>
    <col min="3" max="3" width="8.54296875" customWidth="1"/>
    <col min="4" max="7" width="9.26953125" customWidth="1"/>
    <col min="8" max="8" width="10.1796875" bestFit="1" customWidth="1"/>
    <col min="9" max="12" width="9.26953125" customWidth="1"/>
    <col min="13" max="13" width="9.36328125" customWidth="1"/>
    <col min="14" max="14" width="13.453125" bestFit="1" customWidth="1"/>
    <col min="15" max="15" width="12.1796875" bestFit="1" customWidth="1"/>
    <col min="18" max="18" width="13.54296875" customWidth="1"/>
    <col min="19" max="19" width="12.26953125" customWidth="1"/>
  </cols>
  <sheetData>
    <row r="1" spans="1:19" x14ac:dyDescent="0.35">
      <c r="A1" s="146" t="s">
        <v>371</v>
      </c>
      <c r="B1" s="347" t="s">
        <v>371</v>
      </c>
      <c r="C1" s="221"/>
    </row>
    <row r="2" spans="1:19" ht="14.5" customHeight="1" x14ac:dyDescent="0.35">
      <c r="A2" s="146" t="s">
        <v>371</v>
      </c>
      <c r="B2"/>
      <c r="C2" s="413" t="s">
        <v>390</v>
      </c>
      <c r="D2" s="413"/>
      <c r="E2" s="413"/>
      <c r="F2" s="413"/>
      <c r="G2" s="413"/>
      <c r="H2" s="413"/>
      <c r="I2" s="413"/>
      <c r="J2" s="413"/>
      <c r="K2" s="413"/>
      <c r="L2" s="413"/>
      <c r="M2" s="413"/>
    </row>
    <row r="3" spans="1:19" ht="15" thickBot="1" x14ac:dyDescent="0.4">
      <c r="B3"/>
    </row>
    <row r="4" spans="1:19" ht="15.5" thickTop="1" thickBot="1" x14ac:dyDescent="0.4">
      <c r="G4" s="266" t="s">
        <v>417</v>
      </c>
      <c r="H4" s="274" t="s">
        <v>418</v>
      </c>
    </row>
    <row r="5" spans="1:19" ht="15.5" thickTop="1" thickBot="1" x14ac:dyDescent="0.4">
      <c r="B5" s="148" t="s">
        <v>384</v>
      </c>
      <c r="C5" s="15" t="s">
        <v>372</v>
      </c>
      <c r="D5" s="150" t="s">
        <v>47</v>
      </c>
      <c r="E5" s="150" t="s">
        <v>48</v>
      </c>
      <c r="F5" s="150" t="s">
        <v>49</v>
      </c>
      <c r="G5" s="150" t="s">
        <v>50</v>
      </c>
      <c r="H5" s="150" t="s">
        <v>51</v>
      </c>
      <c r="I5" s="150" t="s">
        <v>52</v>
      </c>
      <c r="J5" s="150" t="s">
        <v>53</v>
      </c>
      <c r="K5" s="150" t="s">
        <v>54</v>
      </c>
      <c r="L5" s="151" t="s">
        <v>55</v>
      </c>
      <c r="M5" s="163" t="s">
        <v>38</v>
      </c>
      <c r="N5" s="162" t="s">
        <v>394</v>
      </c>
      <c r="O5" t="s">
        <v>382</v>
      </c>
      <c r="P5" s="220">
        <f>85+(S20*0.6)+1</f>
        <v>104</v>
      </c>
      <c r="R5" s="414" t="s">
        <v>391</v>
      </c>
      <c r="S5" s="414"/>
    </row>
    <row r="6" spans="1:19" ht="15" thickTop="1" x14ac:dyDescent="0.35">
      <c r="B6" s="287" t="s">
        <v>385</v>
      </c>
      <c r="C6" s="144" t="s">
        <v>3</v>
      </c>
      <c r="D6" s="156">
        <f>'Week 9'!S6</f>
        <v>11</v>
      </c>
      <c r="E6" s="156">
        <f>'Week 10'!S6</f>
        <v>6</v>
      </c>
      <c r="F6" s="250">
        <f>'Week 11'!S6:S19</f>
        <v>10</v>
      </c>
      <c r="G6" s="156">
        <f>'Week 12'!S6</f>
        <v>14</v>
      </c>
      <c r="H6" s="156">
        <f>'Week 13'!R6</f>
        <v>11</v>
      </c>
      <c r="I6" s="156">
        <f>'Week 14'!S6</f>
        <v>12</v>
      </c>
      <c r="J6" s="156">
        <f>'Week 15'!S6</f>
        <v>12</v>
      </c>
      <c r="K6" s="156">
        <f>'Week 16'!S6</f>
        <v>7</v>
      </c>
      <c r="L6" s="156">
        <f>'Week 17'!S6</f>
        <v>12</v>
      </c>
      <c r="M6" s="192">
        <f>SUM(D6:L6)</f>
        <v>95</v>
      </c>
      <c r="N6" s="164">
        <f>-45+40+20-S6</f>
        <v>15</v>
      </c>
      <c r="O6" t="s">
        <v>383</v>
      </c>
      <c r="P6" s="220">
        <f>50+(S20*0.4)</f>
        <v>62</v>
      </c>
      <c r="Q6" s="187"/>
      <c r="R6" s="186" t="s">
        <v>3</v>
      </c>
      <c r="S6" s="242">
        <v>0</v>
      </c>
    </row>
    <row r="7" spans="1:19" x14ac:dyDescent="0.35">
      <c r="B7" s="287" t="s">
        <v>385</v>
      </c>
      <c r="C7" s="147" t="s">
        <v>29</v>
      </c>
      <c r="D7" s="195">
        <f>'Week 9'!S7</f>
        <v>8</v>
      </c>
      <c r="E7" s="195">
        <f>'Week 10'!S7</f>
        <v>9</v>
      </c>
      <c r="F7" s="251">
        <f>'Week 11'!S7:S20</f>
        <v>10</v>
      </c>
      <c r="G7" s="195">
        <f>'Week 12'!S7</f>
        <v>11</v>
      </c>
      <c r="H7" s="195">
        <f>'Week 13'!R7</f>
        <v>11</v>
      </c>
      <c r="I7" s="195">
        <f>'Week 14'!S7</f>
        <v>12</v>
      </c>
      <c r="J7" s="195">
        <f>'Week 15'!S7</f>
        <v>12</v>
      </c>
      <c r="K7" s="195">
        <f>'Week 16'!S7</f>
        <v>9</v>
      </c>
      <c r="L7" s="195">
        <f>'Week 17'!S7</f>
        <v>0</v>
      </c>
      <c r="M7" s="193">
        <f>SUM(D7:L7)</f>
        <v>82</v>
      </c>
      <c r="N7" s="164">
        <f>-45+40-S7</f>
        <v>-10</v>
      </c>
      <c r="Q7" s="187"/>
      <c r="R7" s="186" t="s">
        <v>29</v>
      </c>
      <c r="S7" s="243">
        <v>5</v>
      </c>
    </row>
    <row r="8" spans="1:19" x14ac:dyDescent="0.35">
      <c r="B8" s="287" t="s">
        <v>385</v>
      </c>
      <c r="C8" s="147" t="s">
        <v>30</v>
      </c>
      <c r="D8" s="195">
        <f>'Week 9'!S8</f>
        <v>10</v>
      </c>
      <c r="E8" s="195">
        <f>'Week 10'!S8</f>
        <v>4</v>
      </c>
      <c r="F8" s="251">
        <f>'Week 11'!S8:S21</f>
        <v>10</v>
      </c>
      <c r="G8" s="195">
        <f>'Week 12'!S8</f>
        <v>11</v>
      </c>
      <c r="H8" s="195">
        <f>'Week 13'!R8</f>
        <v>8</v>
      </c>
      <c r="I8" s="195">
        <f>'Week 14'!S8</f>
        <v>9</v>
      </c>
      <c r="J8" s="195">
        <f>'Week 15'!S8</f>
        <v>12</v>
      </c>
      <c r="K8" s="195">
        <f>'Week 16'!S8</f>
        <v>9</v>
      </c>
      <c r="L8" s="195">
        <f>'Week 17'!S8</f>
        <v>9</v>
      </c>
      <c r="M8" s="193">
        <f>SUM(D8:L8)</f>
        <v>82</v>
      </c>
      <c r="N8" s="164">
        <f>-45-S8</f>
        <v>-50</v>
      </c>
      <c r="Q8" s="187"/>
      <c r="R8" s="186" t="s">
        <v>30</v>
      </c>
      <c r="S8" s="243">
        <v>5</v>
      </c>
    </row>
    <row r="9" spans="1:19" x14ac:dyDescent="0.35">
      <c r="B9" s="287" t="s">
        <v>385</v>
      </c>
      <c r="C9" s="147" t="s">
        <v>31</v>
      </c>
      <c r="D9" s="195">
        <f>'Week 9'!S9</f>
        <v>8</v>
      </c>
      <c r="E9" s="195">
        <f>'Week 10'!S9</f>
        <v>6</v>
      </c>
      <c r="F9" s="251">
        <f>'Week 11'!S9:S22</f>
        <v>9</v>
      </c>
      <c r="G9" s="195">
        <f>'Week 12'!S9</f>
        <v>10</v>
      </c>
      <c r="H9" s="195">
        <f>'Week 13'!R9</f>
        <v>12</v>
      </c>
      <c r="I9" s="195">
        <f>'Week 14'!S9</f>
        <v>7</v>
      </c>
      <c r="J9" s="195">
        <f>'Week 15'!S9</f>
        <v>1</v>
      </c>
      <c r="K9" s="195">
        <f>'Week 16'!S9</f>
        <v>0</v>
      </c>
      <c r="L9" s="195">
        <f>'Week 17'!S9</f>
        <v>0</v>
      </c>
      <c r="M9" s="193">
        <f t="shared" ref="M9:M17" si="0">SUM(D9:L9)</f>
        <v>53</v>
      </c>
      <c r="N9" s="164">
        <f>-45-S9</f>
        <v>-45</v>
      </c>
      <c r="Q9" s="187"/>
      <c r="R9" s="186" t="s">
        <v>31</v>
      </c>
      <c r="S9" s="243">
        <v>0</v>
      </c>
    </row>
    <row r="10" spans="1:19" s="146" customFormat="1" x14ac:dyDescent="0.35">
      <c r="B10" s="287" t="s">
        <v>385</v>
      </c>
      <c r="C10" s="149" t="s">
        <v>32</v>
      </c>
      <c r="D10" s="205">
        <f>'Week 9'!S10</f>
        <v>9</v>
      </c>
      <c r="E10" s="205">
        <f>'Week 10'!S10</f>
        <v>6</v>
      </c>
      <c r="F10" s="252">
        <f>'Week 11'!S10:S23</f>
        <v>11</v>
      </c>
      <c r="G10" s="205">
        <f>'Week 12'!S10</f>
        <v>13</v>
      </c>
      <c r="H10" s="205">
        <f>'Week 13'!R10</f>
        <v>14</v>
      </c>
      <c r="I10" s="205">
        <f>'Week 14'!S10</f>
        <v>11</v>
      </c>
      <c r="J10" s="205">
        <f>'Week 15'!S10</f>
        <v>10</v>
      </c>
      <c r="K10" s="205">
        <f>'Week 16'!S10</f>
        <v>9</v>
      </c>
      <c r="L10" s="195">
        <f>'Week 17'!S10</f>
        <v>12</v>
      </c>
      <c r="M10" s="193">
        <f t="shared" si="0"/>
        <v>95</v>
      </c>
      <c r="N10" s="164">
        <f>-45+13+80+20-S10</f>
        <v>68</v>
      </c>
      <c r="Q10" s="187"/>
      <c r="R10" s="186" t="s">
        <v>32</v>
      </c>
      <c r="S10" s="243">
        <v>0</v>
      </c>
    </row>
    <row r="11" spans="1:19" ht="14.5" hidden="1" customHeight="1" x14ac:dyDescent="0.35">
      <c r="B11" s="287"/>
      <c r="C11" s="149" t="s">
        <v>35</v>
      </c>
      <c r="D11" s="195">
        <f>'Week 9'!S11</f>
        <v>8</v>
      </c>
      <c r="E11" s="195">
        <f>'Week 10'!S11</f>
        <v>5</v>
      </c>
      <c r="F11" s="251">
        <f>'Week 11'!S11:S24</f>
        <v>8</v>
      </c>
      <c r="G11" s="195">
        <f>'Week 12'!S11</f>
        <v>13</v>
      </c>
      <c r="H11" s="195">
        <f>'Week 13'!R11</f>
        <v>11</v>
      </c>
      <c r="I11" s="195">
        <f>'Week 14'!S11</f>
        <v>13</v>
      </c>
      <c r="J11" s="195">
        <f>'Week 15'!S11</f>
        <v>13</v>
      </c>
      <c r="K11" s="195">
        <f>'Week 16'!S11</f>
        <v>8</v>
      </c>
      <c r="L11" s="195">
        <f>'Week 17'!S11</f>
        <v>0</v>
      </c>
      <c r="M11" s="193">
        <f t="shared" si="0"/>
        <v>79</v>
      </c>
      <c r="N11" s="164"/>
      <c r="Q11" s="187"/>
      <c r="R11" s="186" t="s">
        <v>35</v>
      </c>
      <c r="S11" s="243" t="s">
        <v>166</v>
      </c>
    </row>
    <row r="12" spans="1:19" x14ac:dyDescent="0.35">
      <c r="B12" s="287" t="s">
        <v>385</v>
      </c>
      <c r="C12" s="149" t="s">
        <v>36</v>
      </c>
      <c r="D12" s="195">
        <f>'Week 9'!S12</f>
        <v>9</v>
      </c>
      <c r="E12" s="195">
        <f>'Week 10'!S12</f>
        <v>5</v>
      </c>
      <c r="F12" s="251">
        <f>'Week 11'!S12:S25</f>
        <v>10</v>
      </c>
      <c r="G12" s="195">
        <f>'Week 12'!S12</f>
        <v>14</v>
      </c>
      <c r="H12" s="195">
        <f>'Week 13'!R12</f>
        <v>10</v>
      </c>
      <c r="I12" s="195">
        <f>'Week 14'!S12</f>
        <v>11</v>
      </c>
      <c r="J12" s="195">
        <f>'Week 15'!S12</f>
        <v>12</v>
      </c>
      <c r="K12" s="195">
        <f>'Week 16'!S12</f>
        <v>9</v>
      </c>
      <c r="L12" s="195">
        <f>'Week 17'!S12</f>
        <v>13</v>
      </c>
      <c r="M12" s="193">
        <f t="shared" si="0"/>
        <v>93</v>
      </c>
      <c r="N12" s="164">
        <f>-45-S12</f>
        <v>-45</v>
      </c>
      <c r="Q12" s="187"/>
      <c r="R12" s="186" t="s">
        <v>36</v>
      </c>
      <c r="S12" s="243">
        <v>0</v>
      </c>
    </row>
    <row r="13" spans="1:19" s="182" customFormat="1" ht="14.5" hidden="1" customHeight="1" x14ac:dyDescent="0.35">
      <c r="B13" s="287"/>
      <c r="C13" s="183" t="s">
        <v>37</v>
      </c>
      <c r="D13" s="195">
        <f>'Week 9'!S13</f>
        <v>9</v>
      </c>
      <c r="E13" s="195">
        <f>'Week 10'!S13</f>
        <v>7</v>
      </c>
      <c r="F13" s="251">
        <f>'Week 11'!S13:S26</f>
        <v>13</v>
      </c>
      <c r="G13" s="195">
        <f>'Week 12'!S13</f>
        <v>13</v>
      </c>
      <c r="H13" s="195">
        <f>'Week 13'!R13</f>
        <v>11</v>
      </c>
      <c r="I13" s="195">
        <f>'Week 14'!S13</f>
        <v>10</v>
      </c>
      <c r="J13" s="195">
        <f>'Week 15'!S13</f>
        <v>11</v>
      </c>
      <c r="K13" s="195">
        <f>'Week 16'!S13</f>
        <v>0</v>
      </c>
      <c r="L13" s="195">
        <f>'Week 17'!S13</f>
        <v>0</v>
      </c>
      <c r="M13" s="193">
        <f>SUM(D13:L13)</f>
        <v>74</v>
      </c>
      <c r="N13" s="184"/>
      <c r="Q13" s="187"/>
      <c r="R13" s="186" t="s">
        <v>37</v>
      </c>
      <c r="S13" s="243" t="s">
        <v>166</v>
      </c>
    </row>
    <row r="14" spans="1:19" s="182" customFormat="1" ht="14.5" hidden="1" customHeight="1" x14ac:dyDescent="0.35">
      <c r="B14" s="287"/>
      <c r="C14" s="183" t="s">
        <v>57</v>
      </c>
      <c r="D14" s="195">
        <f>'Week 9'!S14</f>
        <v>9</v>
      </c>
      <c r="E14" s="195">
        <f>'Week 10'!S14</f>
        <v>5</v>
      </c>
      <c r="F14" s="251">
        <f>'Week 11'!S14:S27</f>
        <v>12</v>
      </c>
      <c r="G14" s="195">
        <f>'Week 12'!S14</f>
        <v>12</v>
      </c>
      <c r="H14" s="195">
        <f>'Week 13'!R14</f>
        <v>13</v>
      </c>
      <c r="I14" s="195">
        <f>'Week 14'!S14</f>
        <v>12</v>
      </c>
      <c r="J14" s="195">
        <f>'Week 15'!S14</f>
        <v>11</v>
      </c>
      <c r="K14" s="195">
        <f>'Week 16'!S14</f>
        <v>7</v>
      </c>
      <c r="L14" s="195">
        <f>'Week 17'!S14</f>
        <v>0</v>
      </c>
      <c r="M14" s="193">
        <f>SUM(D14:L14)</f>
        <v>81</v>
      </c>
      <c r="N14" s="184"/>
      <c r="Q14" s="187"/>
      <c r="R14" s="186" t="s">
        <v>57</v>
      </c>
      <c r="S14" s="243" t="s">
        <v>166</v>
      </c>
    </row>
    <row r="15" spans="1:19" x14ac:dyDescent="0.35">
      <c r="B15" s="287" t="s">
        <v>385</v>
      </c>
      <c r="C15" s="149" t="s">
        <v>379</v>
      </c>
      <c r="D15" s="205">
        <f>'Week 9'!S15</f>
        <v>8</v>
      </c>
      <c r="E15" s="205">
        <f>'Week 10'!S15</f>
        <v>8</v>
      </c>
      <c r="F15" s="252">
        <f>'Week 11'!S15:S28</f>
        <v>8</v>
      </c>
      <c r="G15" s="205">
        <f>'Week 12'!S15</f>
        <v>11</v>
      </c>
      <c r="H15" s="205">
        <f>'Week 13'!R15</f>
        <v>10</v>
      </c>
      <c r="I15" s="205">
        <f>'Week 14'!S15</f>
        <v>13</v>
      </c>
      <c r="J15" s="205">
        <f>'Week 15'!S15</f>
        <v>13</v>
      </c>
      <c r="K15" s="205">
        <f>'Week 16'!S15</f>
        <v>11</v>
      </c>
      <c r="L15" s="195">
        <f>'Week 17'!S15</f>
        <v>11</v>
      </c>
      <c r="M15" s="193">
        <f t="shared" si="0"/>
        <v>93</v>
      </c>
      <c r="N15" s="164">
        <f>-45+20+40+20-S15</f>
        <v>30</v>
      </c>
      <c r="Q15" s="187"/>
      <c r="R15" s="186" t="s">
        <v>379</v>
      </c>
      <c r="S15" s="243">
        <v>5</v>
      </c>
    </row>
    <row r="16" spans="1:19" x14ac:dyDescent="0.35">
      <c r="B16" s="287" t="s">
        <v>385</v>
      </c>
      <c r="C16" s="149" t="s">
        <v>380</v>
      </c>
      <c r="D16" s="205">
        <f>'Week 9'!S16</f>
        <v>9</v>
      </c>
      <c r="E16" s="205">
        <f>'Week 10'!S16</f>
        <v>8</v>
      </c>
      <c r="F16" s="252">
        <f>'Week 11'!S16:S29</f>
        <v>9</v>
      </c>
      <c r="G16" s="205">
        <f>'Week 12'!S16</f>
        <v>14</v>
      </c>
      <c r="H16" s="205">
        <f>'Week 13'!R16</f>
        <v>12</v>
      </c>
      <c r="I16" s="205">
        <f>'Week 14'!S16</f>
        <v>9</v>
      </c>
      <c r="J16" s="205">
        <f>'Week 15'!S16</f>
        <v>12</v>
      </c>
      <c r="K16" s="205">
        <f>'Week 16'!S16</f>
        <v>11</v>
      </c>
      <c r="L16" s="195">
        <f>'Week 17'!S16</f>
        <v>13</v>
      </c>
      <c r="M16" s="193">
        <f t="shared" si="0"/>
        <v>97</v>
      </c>
      <c r="N16" s="164">
        <f>-45+20+104-S16</f>
        <v>79</v>
      </c>
      <c r="Q16" s="187"/>
      <c r="R16" s="186" t="s">
        <v>380</v>
      </c>
      <c r="S16" s="243">
        <v>0</v>
      </c>
    </row>
    <row r="17" spans="2:19" x14ac:dyDescent="0.35">
      <c r="B17" s="287" t="s">
        <v>385</v>
      </c>
      <c r="C17" s="172" t="s">
        <v>381</v>
      </c>
      <c r="D17" s="205">
        <f>'Week 9'!S17</f>
        <v>9</v>
      </c>
      <c r="E17" s="205">
        <f>'Week 10'!S17</f>
        <v>5</v>
      </c>
      <c r="F17" s="252">
        <f>'Week 11'!S17:S30</f>
        <v>11</v>
      </c>
      <c r="G17" s="205">
        <f>'Week 12'!S17</f>
        <v>11</v>
      </c>
      <c r="H17" s="205">
        <f>'Week 13'!R17</f>
        <v>9</v>
      </c>
      <c r="I17" s="205">
        <f>'Week 14'!S17</f>
        <v>11</v>
      </c>
      <c r="J17" s="205">
        <f>'Week 15'!S17</f>
        <v>9</v>
      </c>
      <c r="K17" s="205">
        <f>'Week 16'!S17</f>
        <v>10</v>
      </c>
      <c r="L17" s="195">
        <f>'Week 17'!S17</f>
        <v>14</v>
      </c>
      <c r="M17" s="193">
        <f t="shared" si="0"/>
        <v>89</v>
      </c>
      <c r="N17" s="164">
        <f>-45+13+40-S17</f>
        <v>-2</v>
      </c>
      <c r="Q17" s="187"/>
      <c r="R17" s="186" t="s">
        <v>381</v>
      </c>
      <c r="S17" s="243">
        <v>10</v>
      </c>
    </row>
    <row r="18" spans="2:19" x14ac:dyDescent="0.35">
      <c r="B18" s="287" t="s">
        <v>385</v>
      </c>
      <c r="C18" s="171" t="s">
        <v>387</v>
      </c>
      <c r="D18" s="195">
        <f>'Week 9'!S18</f>
        <v>8</v>
      </c>
      <c r="E18" s="195">
        <f>'Week 10'!S18</f>
        <v>7</v>
      </c>
      <c r="F18" s="251">
        <f>'Week 11'!S18:S31</f>
        <v>8</v>
      </c>
      <c r="G18" s="195">
        <f>'Week 12'!S18</f>
        <v>13</v>
      </c>
      <c r="H18" s="193">
        <f>'Week 13'!R18</f>
        <v>11</v>
      </c>
      <c r="I18" s="267">
        <f>'Week 14'!S18</f>
        <v>11</v>
      </c>
      <c r="J18" s="195">
        <f>'Week 15'!S18</f>
        <v>12</v>
      </c>
      <c r="K18" s="195">
        <f>'Week 16'!S18</f>
        <v>9</v>
      </c>
      <c r="L18" s="195">
        <f>'Week 17'!S18</f>
        <v>11</v>
      </c>
      <c r="M18" s="193">
        <f>SUM(D18:L18)</f>
        <v>90</v>
      </c>
      <c r="N18" s="175">
        <f>-45-S18</f>
        <v>-45</v>
      </c>
      <c r="Q18" s="187"/>
      <c r="R18" s="186" t="s">
        <v>387</v>
      </c>
      <c r="S18" s="243">
        <v>0</v>
      </c>
    </row>
    <row r="19" spans="2:19" ht="15" thickBot="1" x14ac:dyDescent="0.4">
      <c r="B19" s="287" t="s">
        <v>385</v>
      </c>
      <c r="C19" s="172" t="s">
        <v>389</v>
      </c>
      <c r="D19" s="205">
        <f>'Week 9'!S19</f>
        <v>9</v>
      </c>
      <c r="E19" s="205">
        <f>'Week 10'!S19</f>
        <v>5</v>
      </c>
      <c r="F19" s="252">
        <f>'Week 11'!S19:S32</f>
        <v>11</v>
      </c>
      <c r="G19" s="205">
        <f>'Week 12'!S19</f>
        <v>14</v>
      </c>
      <c r="H19" s="124">
        <f>'Week 13'!R19</f>
        <v>10</v>
      </c>
      <c r="I19" s="265">
        <f>'Week 14'!S19</f>
        <v>13</v>
      </c>
      <c r="J19" s="205">
        <f>'Week 15'!S19</f>
        <v>12</v>
      </c>
      <c r="K19" s="205">
        <f>'Week 16'!S19</f>
        <v>9</v>
      </c>
      <c r="L19" s="195">
        <f>'Week 17'!S19</f>
        <v>12</v>
      </c>
      <c r="M19" s="193">
        <f>SUM(D19:L19)</f>
        <v>95</v>
      </c>
      <c r="N19" s="175">
        <f>-45+13+20+20-S19</f>
        <v>3</v>
      </c>
      <c r="Q19" s="187"/>
      <c r="R19" s="225" t="s">
        <v>389</v>
      </c>
      <c r="S19" s="244">
        <v>5</v>
      </c>
    </row>
    <row r="20" spans="2:19" ht="15" customHeight="1" thickTop="1" x14ac:dyDescent="0.35">
      <c r="C20" s="212"/>
      <c r="D20" s="211"/>
      <c r="E20" s="190"/>
      <c r="F20" s="415" t="s">
        <v>404</v>
      </c>
      <c r="I20" s="226"/>
      <c r="J20" s="226"/>
      <c r="K20" s="226"/>
      <c r="L20" s="226"/>
      <c r="M20" s="190"/>
      <c r="N20" s="174" t="s">
        <v>393</v>
      </c>
      <c r="R20" s="213" t="s">
        <v>38</v>
      </c>
      <c r="S20" s="214">
        <f>SUM(S6:S19)</f>
        <v>30</v>
      </c>
    </row>
    <row r="21" spans="2:19" ht="15" thickBot="1" x14ac:dyDescent="0.4">
      <c r="F21" s="415"/>
      <c r="H21" s="159" t="s">
        <v>123</v>
      </c>
      <c r="I21" s="165" t="s">
        <v>124</v>
      </c>
      <c r="N21" s="385"/>
    </row>
    <row r="22" spans="2:19" ht="15" thickTop="1" x14ac:dyDescent="0.35">
      <c r="F22" s="415"/>
      <c r="H22" s="386" t="s">
        <v>380</v>
      </c>
      <c r="I22" s="355">
        <v>97</v>
      </c>
      <c r="L22" s="385"/>
    </row>
    <row r="23" spans="2:19" x14ac:dyDescent="0.35">
      <c r="F23" s="415"/>
      <c r="H23" s="356" t="s">
        <v>3</v>
      </c>
      <c r="I23" s="357">
        <v>95</v>
      </c>
      <c r="L23" s="385"/>
    </row>
    <row r="24" spans="2:19" x14ac:dyDescent="0.35">
      <c r="F24" s="415"/>
      <c r="H24" s="356" t="s">
        <v>32</v>
      </c>
      <c r="I24" s="357">
        <v>95</v>
      </c>
    </row>
    <row r="25" spans="2:19" x14ac:dyDescent="0.35">
      <c r="F25" s="415"/>
      <c r="H25" s="356" t="s">
        <v>389</v>
      </c>
      <c r="I25" s="357">
        <v>95</v>
      </c>
    </row>
    <row r="26" spans="2:19" x14ac:dyDescent="0.35">
      <c r="F26" s="415"/>
      <c r="H26" s="354" t="s">
        <v>36</v>
      </c>
      <c r="I26" s="355">
        <v>93</v>
      </c>
    </row>
    <row r="27" spans="2:19" ht="14.5" hidden="1" customHeight="1" x14ac:dyDescent="0.35">
      <c r="F27" s="415"/>
      <c r="H27" s="354" t="s">
        <v>35</v>
      </c>
      <c r="I27" s="355">
        <v>79</v>
      </c>
    </row>
    <row r="28" spans="2:19" x14ac:dyDescent="0.35">
      <c r="F28" s="415"/>
      <c r="H28" s="356" t="s">
        <v>379</v>
      </c>
      <c r="I28" s="357">
        <v>93</v>
      </c>
    </row>
    <row r="29" spans="2:19" s="185" customFormat="1" ht="14.5" hidden="1" customHeight="1" x14ac:dyDescent="0.35">
      <c r="H29" s="188" t="s">
        <v>37</v>
      </c>
      <c r="I29" s="166">
        <v>74</v>
      </c>
    </row>
    <row r="30" spans="2:19" s="185" customFormat="1" ht="14.5" hidden="1" customHeight="1" x14ac:dyDescent="0.35">
      <c r="H30" s="188" t="s">
        <v>57</v>
      </c>
      <c r="I30" s="166">
        <v>81</v>
      </c>
    </row>
    <row r="31" spans="2:19" x14ac:dyDescent="0.35">
      <c r="H31" s="354" t="s">
        <v>387</v>
      </c>
      <c r="I31" s="355">
        <v>90</v>
      </c>
      <c r="N31" s="291"/>
    </row>
    <row r="32" spans="2:19" x14ac:dyDescent="0.35">
      <c r="H32" s="356" t="s">
        <v>381</v>
      </c>
      <c r="I32" s="357">
        <v>89</v>
      </c>
      <c r="N32" s="291"/>
    </row>
    <row r="33" spans="8:9" x14ac:dyDescent="0.35">
      <c r="H33" s="354" t="s">
        <v>29</v>
      </c>
      <c r="I33" s="355">
        <v>82</v>
      </c>
    </row>
    <row r="34" spans="8:9" x14ac:dyDescent="0.35">
      <c r="H34" s="354" t="s">
        <v>30</v>
      </c>
      <c r="I34" s="355">
        <v>82</v>
      </c>
    </row>
    <row r="35" spans="8:9" x14ac:dyDescent="0.35">
      <c r="H35" s="356" t="s">
        <v>31</v>
      </c>
      <c r="I35" s="357">
        <v>53</v>
      </c>
    </row>
  </sheetData>
  <mergeCells count="3">
    <mergeCell ref="C2:M2"/>
    <mergeCell ref="R5:S5"/>
    <mergeCell ref="F20:F28"/>
  </mergeCells>
  <conditionalFormatting sqref="N6:N19">
    <cfRule type="cellIs" dxfId="132" priority="27" operator="lessThan">
      <formula>0</formula>
    </cfRule>
  </conditionalFormatting>
  <conditionalFormatting sqref="D6:D19">
    <cfRule type="top10" dxfId="131" priority="459" rank="1"/>
  </conditionalFormatting>
  <conditionalFormatting sqref="E6:E19">
    <cfRule type="top10" dxfId="130" priority="461" rank="1"/>
  </conditionalFormatting>
  <conditionalFormatting sqref="G6:G19">
    <cfRule type="top10" dxfId="129" priority="465" rank="1"/>
  </conditionalFormatting>
  <conditionalFormatting sqref="H6:H19">
    <cfRule type="top10" dxfId="128" priority="467" rank="1"/>
  </conditionalFormatting>
  <conditionalFormatting sqref="I6:I19">
    <cfRule type="top10" dxfId="127" priority="469" rank="1"/>
  </conditionalFormatting>
  <conditionalFormatting sqref="J6:J19">
    <cfRule type="top10" dxfId="126" priority="471" rank="1"/>
  </conditionalFormatting>
  <conditionalFormatting sqref="K6:K19">
    <cfRule type="top10" dxfId="125" priority="473" rank="1"/>
  </conditionalFormatting>
  <conditionalFormatting sqref="L6:L19">
    <cfRule type="top10" dxfId="64" priority="475" rank="1"/>
  </conditionalFormatting>
  <conditionalFormatting sqref="F6:F10 F12 F15:F19">
    <cfRule type="top10" dxfId="124" priority="4" rank="1"/>
  </conditionalFormatting>
  <conditionalFormatting sqref="M6:M10 M12 M15:M19">
    <cfRule type="top10" dxfId="123" priority="3" rank="1"/>
  </conditionalFormatting>
  <conditionalFormatting sqref="H6:H10 H12 H15:H19">
    <cfRule type="top10" dxfId="122" priority="2" rank="1"/>
  </conditionalFormatting>
  <conditionalFormatting sqref="J6:J10 J12 J14:J19">
    <cfRule type="top10" dxfId="121" priority="1" rank="1"/>
  </conditionalFormatting>
  <pageMargins left="0.7" right="0.7" top="0.75" bottom="0.75" header="0.3" footer="0.3"/>
  <pageSetup orientation="portrait" r:id="rId1"/>
  <ignoredErrors>
    <ignoredError sqref="N18" formula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T29"/>
  <sheetViews>
    <sheetView zoomScaleNormal="100" workbookViewId="0"/>
  </sheetViews>
  <sheetFormatPr defaultRowHeight="14.5" x14ac:dyDescent="0.35"/>
  <cols>
    <col min="1" max="1" width="5.54296875" customWidth="1"/>
    <col min="2" max="2" width="10.90625" bestFit="1" customWidth="1"/>
    <col min="3" max="3" width="9.08984375" bestFit="1" customWidth="1"/>
    <col min="4" max="4" width="10" bestFit="1" customWidth="1"/>
    <col min="5" max="5" width="8" bestFit="1" customWidth="1"/>
    <col min="6" max="6" width="9.36328125" bestFit="1" customWidth="1"/>
    <col min="7" max="7" width="8.453125" bestFit="1" customWidth="1"/>
    <col min="8" max="8" width="9.08984375" bestFit="1" customWidth="1"/>
    <col min="9" max="9" width="9" bestFit="1" customWidth="1"/>
    <col min="10" max="10" width="8.81640625" bestFit="1" customWidth="1"/>
    <col min="11" max="11" width="8.26953125" bestFit="1" customWidth="1"/>
    <col min="12" max="12" width="7.6328125" bestFit="1" customWidth="1"/>
    <col min="13" max="13" width="7.90625" bestFit="1" customWidth="1"/>
    <col min="14" max="14" width="8" bestFit="1" customWidth="1"/>
    <col min="15" max="16" width="9.453125" bestFit="1" customWidth="1"/>
    <col min="17" max="17" width="8.6328125" customWidth="1"/>
    <col min="18" max="18" width="8.54296875" bestFit="1" customWidth="1"/>
    <col min="20" max="20" width="9.7265625" bestFit="1" customWidth="1"/>
  </cols>
  <sheetData>
    <row r="3" spans="2:20" ht="15" thickBot="1" x14ac:dyDescent="0.4"/>
    <row r="4" spans="2:20" ht="15.5" thickTop="1" thickBot="1" x14ac:dyDescent="0.4">
      <c r="B4" s="11" t="s">
        <v>0</v>
      </c>
      <c r="C4" s="21" t="s">
        <v>95</v>
      </c>
      <c r="D4" s="21" t="s">
        <v>96</v>
      </c>
      <c r="E4" s="21" t="s">
        <v>97</v>
      </c>
      <c r="F4" s="21" t="s">
        <v>98</v>
      </c>
      <c r="G4" s="21" t="s">
        <v>99</v>
      </c>
      <c r="H4" s="21" t="s">
        <v>100</v>
      </c>
      <c r="I4" s="21" t="s">
        <v>101</v>
      </c>
      <c r="J4" s="21" t="s">
        <v>102</v>
      </c>
      <c r="K4" s="21" t="s">
        <v>103</v>
      </c>
      <c r="L4" s="21" t="s">
        <v>104</v>
      </c>
      <c r="M4" s="21" t="s">
        <v>105</v>
      </c>
      <c r="N4" s="21" t="s">
        <v>106</v>
      </c>
      <c r="O4" s="21" t="s">
        <v>107</v>
      </c>
      <c r="P4" s="21" t="s">
        <v>108</v>
      </c>
      <c r="Q4" s="21" t="s">
        <v>109</v>
      </c>
      <c r="R4" s="21" t="s">
        <v>110</v>
      </c>
      <c r="S4" s="406" t="s">
        <v>92</v>
      </c>
      <c r="T4" s="31"/>
    </row>
    <row r="5" spans="2:20" ht="15.5" thickTop="1" thickBot="1" x14ac:dyDescent="0.4">
      <c r="B5" s="26" t="s">
        <v>1</v>
      </c>
      <c r="C5" s="8" t="s">
        <v>111</v>
      </c>
      <c r="D5" s="8" t="s">
        <v>23</v>
      </c>
      <c r="E5" s="8" t="s">
        <v>112</v>
      </c>
      <c r="F5" s="8" t="s">
        <v>25</v>
      </c>
      <c r="G5" s="8" t="s">
        <v>113</v>
      </c>
      <c r="H5" s="8" t="s">
        <v>114</v>
      </c>
      <c r="I5" s="8" t="s">
        <v>22</v>
      </c>
      <c r="J5" s="8" t="s">
        <v>115</v>
      </c>
      <c r="K5" s="8" t="s">
        <v>23</v>
      </c>
      <c r="L5" s="8" t="s">
        <v>116</v>
      </c>
      <c r="M5" s="8" t="s">
        <v>115</v>
      </c>
      <c r="N5" s="8" t="s">
        <v>111</v>
      </c>
      <c r="O5" s="8" t="s">
        <v>21</v>
      </c>
      <c r="P5" s="8" t="s">
        <v>114</v>
      </c>
      <c r="Q5" s="8" t="s">
        <v>19</v>
      </c>
      <c r="R5" s="8" t="s">
        <v>22</v>
      </c>
      <c r="S5" s="407"/>
      <c r="T5" s="31"/>
    </row>
    <row r="6" spans="2:20" ht="15" thickTop="1" x14ac:dyDescent="0.35">
      <c r="B6" s="22" t="s">
        <v>3</v>
      </c>
      <c r="C6" s="128" t="s">
        <v>65</v>
      </c>
      <c r="D6" s="128" t="s">
        <v>71</v>
      </c>
      <c r="E6" s="128" t="s">
        <v>33</v>
      </c>
      <c r="F6" s="128" t="s">
        <v>117</v>
      </c>
      <c r="G6" s="128" t="s">
        <v>89</v>
      </c>
      <c r="H6" s="128" t="s">
        <v>68</v>
      </c>
      <c r="I6" s="128" t="s">
        <v>60</v>
      </c>
      <c r="J6" s="128" t="s">
        <v>91</v>
      </c>
      <c r="K6" s="128" t="s">
        <v>76</v>
      </c>
      <c r="L6" s="128" t="s">
        <v>118</v>
      </c>
      <c r="M6" s="128" t="s">
        <v>67</v>
      </c>
      <c r="N6" s="128" t="s">
        <v>119</v>
      </c>
      <c r="O6" s="128" t="s">
        <v>58</v>
      </c>
      <c r="P6" s="128" t="s">
        <v>34</v>
      </c>
      <c r="Q6" s="128" t="s">
        <v>64</v>
      </c>
      <c r="R6" s="128" t="s">
        <v>88</v>
      </c>
      <c r="S6" s="196">
        <f t="shared" ref="S6:S14" si="0">SUM(C21:R21)</f>
        <v>9</v>
      </c>
      <c r="T6" s="1"/>
    </row>
    <row r="7" spans="2:20" x14ac:dyDescent="0.35">
      <c r="B7" s="22" t="s">
        <v>29</v>
      </c>
      <c r="C7" s="128" t="s">
        <v>65</v>
      </c>
      <c r="D7" s="128" t="s">
        <v>71</v>
      </c>
      <c r="E7" s="128" t="s">
        <v>33</v>
      </c>
      <c r="F7" s="128" t="s">
        <v>117</v>
      </c>
      <c r="G7" s="128" t="s">
        <v>89</v>
      </c>
      <c r="H7" s="128" t="s">
        <v>61</v>
      </c>
      <c r="I7" s="128" t="s">
        <v>60</v>
      </c>
      <c r="J7" s="128" t="s">
        <v>91</v>
      </c>
      <c r="K7" s="128" t="s">
        <v>76</v>
      </c>
      <c r="L7" s="128" t="s">
        <v>118</v>
      </c>
      <c r="M7" s="128" t="s">
        <v>67</v>
      </c>
      <c r="N7" s="128" t="s">
        <v>119</v>
      </c>
      <c r="O7" s="128" t="s">
        <v>74</v>
      </c>
      <c r="P7" s="128" t="s">
        <v>34</v>
      </c>
      <c r="Q7" s="128" t="s">
        <v>64</v>
      </c>
      <c r="R7" s="128" t="s">
        <v>75</v>
      </c>
      <c r="S7" s="197">
        <f t="shared" si="0"/>
        <v>8</v>
      </c>
      <c r="T7" s="1"/>
    </row>
    <row r="8" spans="2:20" x14ac:dyDescent="0.35">
      <c r="B8" s="22" t="s">
        <v>30</v>
      </c>
      <c r="C8" s="128" t="s">
        <v>65</v>
      </c>
      <c r="D8" s="128" t="s">
        <v>90</v>
      </c>
      <c r="E8" s="128" t="s">
        <v>33</v>
      </c>
      <c r="F8" s="128" t="s">
        <v>120</v>
      </c>
      <c r="G8" s="128" t="s">
        <v>121</v>
      </c>
      <c r="H8" s="128" t="s">
        <v>61</v>
      </c>
      <c r="I8" s="128" t="s">
        <v>66</v>
      </c>
      <c r="J8" s="128" t="s">
        <v>91</v>
      </c>
      <c r="K8" s="128" t="s">
        <v>76</v>
      </c>
      <c r="L8" s="128" t="s">
        <v>118</v>
      </c>
      <c r="M8" s="128" t="s">
        <v>67</v>
      </c>
      <c r="N8" s="128" t="s">
        <v>122</v>
      </c>
      <c r="O8" s="128" t="s">
        <v>74</v>
      </c>
      <c r="P8" s="128" t="s">
        <v>34</v>
      </c>
      <c r="Q8" s="128" t="s">
        <v>64</v>
      </c>
      <c r="R8" s="128" t="s">
        <v>88</v>
      </c>
      <c r="S8" s="196">
        <f t="shared" si="0"/>
        <v>8</v>
      </c>
      <c r="T8" s="1"/>
    </row>
    <row r="9" spans="2:20" x14ac:dyDescent="0.35">
      <c r="B9" s="22" t="s">
        <v>31</v>
      </c>
      <c r="C9" s="116" t="s">
        <v>65</v>
      </c>
      <c r="D9" s="116" t="s">
        <v>71</v>
      </c>
      <c r="E9" s="116" t="s">
        <v>33</v>
      </c>
      <c r="F9" s="116" t="s">
        <v>120</v>
      </c>
      <c r="G9" s="116" t="s">
        <v>89</v>
      </c>
      <c r="H9" s="116" t="s">
        <v>61</v>
      </c>
      <c r="I9" s="116" t="s">
        <v>66</v>
      </c>
      <c r="J9" s="116" t="s">
        <v>91</v>
      </c>
      <c r="K9" s="116" t="s">
        <v>76</v>
      </c>
      <c r="L9" s="116" t="s">
        <v>118</v>
      </c>
      <c r="M9" s="116" t="s">
        <v>67</v>
      </c>
      <c r="N9" s="116" t="s">
        <v>119</v>
      </c>
      <c r="O9" s="116" t="s">
        <v>58</v>
      </c>
      <c r="P9" s="116" t="s">
        <v>69</v>
      </c>
      <c r="Q9" s="116" t="s">
        <v>64</v>
      </c>
      <c r="R9" s="116" t="s">
        <v>75</v>
      </c>
      <c r="S9" s="197">
        <f t="shared" si="0"/>
        <v>10</v>
      </c>
      <c r="T9" s="1"/>
    </row>
    <row r="10" spans="2:20" x14ac:dyDescent="0.35">
      <c r="B10" s="22" t="s">
        <v>32</v>
      </c>
      <c r="C10" s="128" t="s">
        <v>65</v>
      </c>
      <c r="D10" s="128" t="s">
        <v>71</v>
      </c>
      <c r="E10" s="128" t="s">
        <v>33</v>
      </c>
      <c r="F10" s="128" t="s">
        <v>117</v>
      </c>
      <c r="G10" s="128" t="s">
        <v>89</v>
      </c>
      <c r="H10" s="128" t="s">
        <v>61</v>
      </c>
      <c r="I10" s="128" t="s">
        <v>60</v>
      </c>
      <c r="J10" s="128" t="s">
        <v>91</v>
      </c>
      <c r="K10" s="128" t="s">
        <v>76</v>
      </c>
      <c r="L10" s="128" t="s">
        <v>118</v>
      </c>
      <c r="M10" s="128" t="s">
        <v>67</v>
      </c>
      <c r="N10" s="128" t="s">
        <v>119</v>
      </c>
      <c r="O10" s="128" t="s">
        <v>74</v>
      </c>
      <c r="P10" s="128" t="s">
        <v>34</v>
      </c>
      <c r="Q10" s="128" t="s">
        <v>64</v>
      </c>
      <c r="R10" s="128" t="s">
        <v>75</v>
      </c>
      <c r="S10" s="196">
        <f t="shared" si="0"/>
        <v>8</v>
      </c>
      <c r="T10" s="1"/>
    </row>
    <row r="11" spans="2:20" x14ac:dyDescent="0.35">
      <c r="B11" s="22" t="s">
        <v>35</v>
      </c>
      <c r="C11" s="128" t="s">
        <v>79</v>
      </c>
      <c r="D11" s="128" t="s">
        <v>90</v>
      </c>
      <c r="E11" s="128" t="s">
        <v>33</v>
      </c>
      <c r="F11" s="128" t="s">
        <v>120</v>
      </c>
      <c r="G11" s="128" t="s">
        <v>89</v>
      </c>
      <c r="H11" s="128" t="s">
        <v>68</v>
      </c>
      <c r="I11" s="128" t="s">
        <v>60</v>
      </c>
      <c r="J11" s="128" t="s">
        <v>91</v>
      </c>
      <c r="K11" s="128" t="s">
        <v>76</v>
      </c>
      <c r="L11" s="128" t="s">
        <v>118</v>
      </c>
      <c r="M11" s="128" t="s">
        <v>67</v>
      </c>
      <c r="N11" s="128" t="s">
        <v>122</v>
      </c>
      <c r="O11" s="128" t="s">
        <v>74</v>
      </c>
      <c r="P11" s="128" t="s">
        <v>34</v>
      </c>
      <c r="Q11" s="128" t="s">
        <v>64</v>
      </c>
      <c r="R11" s="128" t="s">
        <v>75</v>
      </c>
      <c r="S11" s="197">
        <f t="shared" si="0"/>
        <v>11</v>
      </c>
      <c r="T11" s="1"/>
    </row>
    <row r="12" spans="2:20" x14ac:dyDescent="0.35">
      <c r="B12" s="29" t="s">
        <v>36</v>
      </c>
      <c r="C12" s="128" t="s">
        <v>79</v>
      </c>
      <c r="D12" s="128" t="s">
        <v>71</v>
      </c>
      <c r="E12" s="128" t="s">
        <v>33</v>
      </c>
      <c r="F12" s="128" t="s">
        <v>117</v>
      </c>
      <c r="G12" s="128" t="s">
        <v>89</v>
      </c>
      <c r="H12" s="128" t="s">
        <v>68</v>
      </c>
      <c r="I12" s="128" t="s">
        <v>60</v>
      </c>
      <c r="J12" s="128" t="s">
        <v>91</v>
      </c>
      <c r="K12" s="128" t="s">
        <v>76</v>
      </c>
      <c r="L12" s="128" t="s">
        <v>118</v>
      </c>
      <c r="M12" s="128" t="s">
        <v>67</v>
      </c>
      <c r="N12" s="128" t="s">
        <v>119</v>
      </c>
      <c r="O12" s="128" t="s">
        <v>74</v>
      </c>
      <c r="P12" s="128" t="s">
        <v>34</v>
      </c>
      <c r="Q12" s="128" t="s">
        <v>64</v>
      </c>
      <c r="R12" s="128" t="s">
        <v>75</v>
      </c>
      <c r="S12" s="196">
        <f t="shared" si="0"/>
        <v>10</v>
      </c>
      <c r="T12" s="1"/>
    </row>
    <row r="13" spans="2:20" x14ac:dyDescent="0.35">
      <c r="B13" s="23" t="s">
        <v>37</v>
      </c>
      <c r="C13" s="128" t="s">
        <v>79</v>
      </c>
      <c r="D13" s="128" t="s">
        <v>90</v>
      </c>
      <c r="E13" s="128" t="s">
        <v>33</v>
      </c>
      <c r="F13" s="128" t="s">
        <v>117</v>
      </c>
      <c r="G13" s="128" t="s">
        <v>89</v>
      </c>
      <c r="H13" s="128" t="s">
        <v>68</v>
      </c>
      <c r="I13" s="128" t="s">
        <v>60</v>
      </c>
      <c r="J13" s="128" t="s">
        <v>91</v>
      </c>
      <c r="K13" s="128" t="s">
        <v>76</v>
      </c>
      <c r="L13" s="128" t="s">
        <v>118</v>
      </c>
      <c r="M13" s="128" t="s">
        <v>67</v>
      </c>
      <c r="N13" s="128" t="s">
        <v>119</v>
      </c>
      <c r="O13" s="128" t="s">
        <v>74</v>
      </c>
      <c r="P13" s="128" t="s">
        <v>69</v>
      </c>
      <c r="Q13" s="128" t="s">
        <v>64</v>
      </c>
      <c r="R13" s="128" t="s">
        <v>75</v>
      </c>
      <c r="S13" s="197">
        <f t="shared" si="0"/>
        <v>10</v>
      </c>
      <c r="T13" s="1"/>
    </row>
    <row r="14" spans="2:20" ht="15" thickBot="1" x14ac:dyDescent="0.4">
      <c r="B14" s="23" t="s">
        <v>57</v>
      </c>
      <c r="C14" s="128" t="s">
        <v>65</v>
      </c>
      <c r="D14" s="128" t="s">
        <v>71</v>
      </c>
      <c r="E14" s="128" t="s">
        <v>33</v>
      </c>
      <c r="F14" s="128" t="s">
        <v>120</v>
      </c>
      <c r="G14" s="128" t="s">
        <v>89</v>
      </c>
      <c r="H14" s="128" t="s">
        <v>68</v>
      </c>
      <c r="I14" s="128" t="s">
        <v>60</v>
      </c>
      <c r="J14" s="128" t="s">
        <v>91</v>
      </c>
      <c r="K14" s="128" t="s">
        <v>76</v>
      </c>
      <c r="L14" s="128" t="s">
        <v>118</v>
      </c>
      <c r="M14" s="128" t="s">
        <v>67</v>
      </c>
      <c r="N14" s="128" t="s">
        <v>122</v>
      </c>
      <c r="O14" s="128" t="s">
        <v>74</v>
      </c>
      <c r="P14" s="128" t="s">
        <v>34</v>
      </c>
      <c r="Q14" s="128" t="s">
        <v>64</v>
      </c>
      <c r="R14" s="128" t="s">
        <v>88</v>
      </c>
      <c r="S14" s="227">
        <f t="shared" si="0"/>
        <v>8</v>
      </c>
      <c r="T14" s="32"/>
    </row>
    <row r="15" spans="2:20" ht="15" thickTop="1" x14ac:dyDescent="0.35">
      <c r="T15" s="1"/>
    </row>
    <row r="19" spans="2:18" ht="15.5" customHeight="1" thickBot="1" x14ac:dyDescent="0.4">
      <c r="B19" s="11" t="s">
        <v>0</v>
      </c>
      <c r="C19" s="21" t="s">
        <v>95</v>
      </c>
      <c r="D19" s="21" t="s">
        <v>96</v>
      </c>
      <c r="E19" s="21" t="s">
        <v>97</v>
      </c>
      <c r="F19" s="21" t="s">
        <v>98</v>
      </c>
      <c r="G19" s="21" t="s">
        <v>99</v>
      </c>
      <c r="H19" s="21" t="s">
        <v>100</v>
      </c>
      <c r="I19" s="21" t="s">
        <v>101</v>
      </c>
      <c r="J19" s="21" t="s">
        <v>102</v>
      </c>
      <c r="K19" s="21" t="s">
        <v>103</v>
      </c>
      <c r="L19" s="21" t="s">
        <v>104</v>
      </c>
      <c r="M19" s="21" t="s">
        <v>105</v>
      </c>
      <c r="N19" s="21" t="s">
        <v>106</v>
      </c>
      <c r="O19" s="21" t="s">
        <v>107</v>
      </c>
      <c r="P19" s="21" t="s">
        <v>108</v>
      </c>
      <c r="Q19" s="21" t="s">
        <v>109</v>
      </c>
      <c r="R19" s="21" t="s">
        <v>110</v>
      </c>
    </row>
    <row r="20" spans="2:18" ht="15.5" thickTop="1" thickBot="1" x14ac:dyDescent="0.4">
      <c r="B20" s="26" t="s">
        <v>1</v>
      </c>
      <c r="C20" s="8" t="s">
        <v>111</v>
      </c>
      <c r="D20" s="8" t="s">
        <v>23</v>
      </c>
      <c r="E20" s="8" t="s">
        <v>112</v>
      </c>
      <c r="F20" s="8" t="s">
        <v>25</v>
      </c>
      <c r="G20" s="8" t="s">
        <v>113</v>
      </c>
      <c r="H20" s="8" t="s">
        <v>114</v>
      </c>
      <c r="I20" s="8" t="s">
        <v>22</v>
      </c>
      <c r="J20" s="8" t="s">
        <v>115</v>
      </c>
      <c r="K20" s="8" t="s">
        <v>23</v>
      </c>
      <c r="L20" s="8" t="s">
        <v>116</v>
      </c>
      <c r="M20" s="8" t="s">
        <v>115</v>
      </c>
      <c r="N20" s="8" t="s">
        <v>111</v>
      </c>
      <c r="O20" s="8" t="s">
        <v>21</v>
      </c>
      <c r="P20" s="8" t="s">
        <v>114</v>
      </c>
      <c r="Q20" s="8" t="s">
        <v>19</v>
      </c>
      <c r="R20" s="27" t="s">
        <v>22</v>
      </c>
    </row>
    <row r="21" spans="2:18" ht="15" thickTop="1" x14ac:dyDescent="0.35">
      <c r="B21" s="22" t="s">
        <v>3</v>
      </c>
      <c r="C21" s="30" t="str">
        <f t="shared" ref="C21:C29" si="1">IF(C6="BUF","-",1)</f>
        <v>-</v>
      </c>
      <c r="D21" s="30" t="str">
        <f t="shared" ref="D21:D29" si="2">IF(D6="DAL",1,"-")</f>
        <v>-</v>
      </c>
      <c r="E21" s="30">
        <f t="shared" ref="E21:E29" si="3">IF(E6="CAR",1,"-")</f>
        <v>1</v>
      </c>
      <c r="F21" s="30" t="str">
        <f t="shared" ref="F21:F29" si="4">IF(F6="TEN",1,"-")</f>
        <v>-</v>
      </c>
      <c r="G21" s="30">
        <f t="shared" ref="G21:G29" si="5">IF(G6="NE",1,"-")</f>
        <v>1</v>
      </c>
      <c r="H21" s="30">
        <f t="shared" ref="H21:H29" si="6">IF(H6="NYG",1,"-")</f>
        <v>1</v>
      </c>
      <c r="I21" s="30" t="str">
        <f t="shared" ref="I21:I29" si="7">IF(I6="HOU",1,"-")</f>
        <v>-</v>
      </c>
      <c r="J21" s="30">
        <f t="shared" ref="J21:J29" si="8">IF(J6="BAL",1,"-")</f>
        <v>1</v>
      </c>
      <c r="K21" s="30">
        <f t="shared" ref="K21:K29" si="9">IF(K6="PIT",1,"-")</f>
        <v>1</v>
      </c>
      <c r="L21" s="30">
        <f>IF(L6="ARI",1,"-")</f>
        <v>1</v>
      </c>
      <c r="M21" s="30" t="str">
        <f>IF(M6="LA",1,"-")</f>
        <v>-</v>
      </c>
      <c r="N21" s="30">
        <f>IF(N6="SD",1,"-")</f>
        <v>1</v>
      </c>
      <c r="O21" s="30">
        <f>IF(O6="ATL",1,"-")</f>
        <v>1</v>
      </c>
      <c r="P21" s="30">
        <f>IF(P6="DEN",1,"-")</f>
        <v>1</v>
      </c>
      <c r="Q21" s="30" t="str">
        <f>IF(Q6="MIN",1,"-")</f>
        <v>-</v>
      </c>
      <c r="R21" s="30" t="str">
        <f>IF(R6="PHI",1,"-")</f>
        <v>-</v>
      </c>
    </row>
    <row r="22" spans="2:18" x14ac:dyDescent="0.35">
      <c r="B22" s="22" t="s">
        <v>29</v>
      </c>
      <c r="C22" s="30" t="str">
        <f t="shared" si="1"/>
        <v>-</v>
      </c>
      <c r="D22" s="30" t="str">
        <f t="shared" si="2"/>
        <v>-</v>
      </c>
      <c r="E22" s="30">
        <f t="shared" si="3"/>
        <v>1</v>
      </c>
      <c r="F22" s="30" t="str">
        <f t="shared" si="4"/>
        <v>-</v>
      </c>
      <c r="G22" s="30">
        <f t="shared" si="5"/>
        <v>1</v>
      </c>
      <c r="H22" s="30" t="str">
        <f t="shared" si="6"/>
        <v>-</v>
      </c>
      <c r="I22" s="30" t="str">
        <f t="shared" si="7"/>
        <v>-</v>
      </c>
      <c r="J22" s="30">
        <f t="shared" si="8"/>
        <v>1</v>
      </c>
      <c r="K22" s="30">
        <f t="shared" si="9"/>
        <v>1</v>
      </c>
      <c r="L22" s="30">
        <f t="shared" ref="L22:L29" si="10">IF(L7="ARI",1,"-")</f>
        <v>1</v>
      </c>
      <c r="M22" s="30" t="str">
        <f t="shared" ref="M22:M29" si="11">IF(M7="LA",1,"-")</f>
        <v>-</v>
      </c>
      <c r="N22" s="30">
        <f t="shared" ref="N22:N29" si="12">IF(N7="SD",1,"-")</f>
        <v>1</v>
      </c>
      <c r="O22" s="30" t="str">
        <f t="shared" ref="O22:O29" si="13">IF(O7="ATL",1,"-")</f>
        <v>-</v>
      </c>
      <c r="P22" s="30">
        <f t="shared" ref="P22:P29" si="14">IF(P7="DEN",1,"-")</f>
        <v>1</v>
      </c>
      <c r="Q22" s="30" t="str">
        <f t="shared" ref="Q22:Q29" si="15">IF(Q7="MIN",1,"-")</f>
        <v>-</v>
      </c>
      <c r="R22" s="30">
        <f t="shared" ref="R22:R29" si="16">IF(R7="PHI",1,"-")</f>
        <v>1</v>
      </c>
    </row>
    <row r="23" spans="2:18" x14ac:dyDescent="0.35">
      <c r="B23" s="22" t="s">
        <v>30</v>
      </c>
      <c r="C23" s="30" t="str">
        <f t="shared" si="1"/>
        <v>-</v>
      </c>
      <c r="D23" s="30">
        <f t="shared" si="2"/>
        <v>1</v>
      </c>
      <c r="E23" s="30">
        <f t="shared" si="3"/>
        <v>1</v>
      </c>
      <c r="F23" s="30">
        <f t="shared" si="4"/>
        <v>1</v>
      </c>
      <c r="G23" s="30" t="str">
        <f t="shared" si="5"/>
        <v>-</v>
      </c>
      <c r="H23" s="30" t="str">
        <f t="shared" si="6"/>
        <v>-</v>
      </c>
      <c r="I23" s="30">
        <f t="shared" si="7"/>
        <v>1</v>
      </c>
      <c r="J23" s="30">
        <f t="shared" si="8"/>
        <v>1</v>
      </c>
      <c r="K23" s="30">
        <f t="shared" si="9"/>
        <v>1</v>
      </c>
      <c r="L23" s="30">
        <f t="shared" si="10"/>
        <v>1</v>
      </c>
      <c r="M23" s="30" t="str">
        <f t="shared" si="11"/>
        <v>-</v>
      </c>
      <c r="N23" s="30" t="str">
        <f t="shared" si="12"/>
        <v>-</v>
      </c>
      <c r="O23" s="30" t="str">
        <f t="shared" si="13"/>
        <v>-</v>
      </c>
      <c r="P23" s="30">
        <f t="shared" si="14"/>
        <v>1</v>
      </c>
      <c r="Q23" s="30" t="str">
        <f t="shared" si="15"/>
        <v>-</v>
      </c>
      <c r="R23" s="30" t="str">
        <f t="shared" si="16"/>
        <v>-</v>
      </c>
    </row>
    <row r="24" spans="2:18" x14ac:dyDescent="0.35">
      <c r="B24" s="22" t="s">
        <v>31</v>
      </c>
      <c r="C24" s="30" t="str">
        <f t="shared" si="1"/>
        <v>-</v>
      </c>
      <c r="D24" s="30" t="str">
        <f t="shared" si="2"/>
        <v>-</v>
      </c>
      <c r="E24" s="30">
        <f t="shared" si="3"/>
        <v>1</v>
      </c>
      <c r="F24" s="30">
        <f t="shared" si="4"/>
        <v>1</v>
      </c>
      <c r="G24" s="30">
        <f t="shared" si="5"/>
        <v>1</v>
      </c>
      <c r="H24" s="30" t="str">
        <f t="shared" si="6"/>
        <v>-</v>
      </c>
      <c r="I24" s="30">
        <f t="shared" si="7"/>
        <v>1</v>
      </c>
      <c r="J24" s="30">
        <f t="shared" si="8"/>
        <v>1</v>
      </c>
      <c r="K24" s="30">
        <f t="shared" si="9"/>
        <v>1</v>
      </c>
      <c r="L24" s="30">
        <f t="shared" si="10"/>
        <v>1</v>
      </c>
      <c r="M24" s="30" t="str">
        <f t="shared" si="11"/>
        <v>-</v>
      </c>
      <c r="N24" s="30">
        <f t="shared" si="12"/>
        <v>1</v>
      </c>
      <c r="O24" s="30">
        <f t="shared" si="13"/>
        <v>1</v>
      </c>
      <c r="P24" s="30" t="str">
        <f t="shared" si="14"/>
        <v>-</v>
      </c>
      <c r="Q24" s="30" t="str">
        <f t="shared" si="15"/>
        <v>-</v>
      </c>
      <c r="R24" s="30">
        <f t="shared" si="16"/>
        <v>1</v>
      </c>
    </row>
    <row r="25" spans="2:18" x14ac:dyDescent="0.35">
      <c r="B25" s="22" t="s">
        <v>32</v>
      </c>
      <c r="C25" s="30" t="str">
        <f t="shared" si="1"/>
        <v>-</v>
      </c>
      <c r="D25" s="30" t="str">
        <f t="shared" si="2"/>
        <v>-</v>
      </c>
      <c r="E25" s="30">
        <f t="shared" si="3"/>
        <v>1</v>
      </c>
      <c r="F25" s="30" t="str">
        <f t="shared" si="4"/>
        <v>-</v>
      </c>
      <c r="G25" s="30">
        <f t="shared" si="5"/>
        <v>1</v>
      </c>
      <c r="H25" s="30" t="str">
        <f t="shared" si="6"/>
        <v>-</v>
      </c>
      <c r="I25" s="30" t="str">
        <f t="shared" si="7"/>
        <v>-</v>
      </c>
      <c r="J25" s="30">
        <f t="shared" si="8"/>
        <v>1</v>
      </c>
      <c r="K25" s="30">
        <f t="shared" si="9"/>
        <v>1</v>
      </c>
      <c r="L25" s="30">
        <f t="shared" si="10"/>
        <v>1</v>
      </c>
      <c r="M25" s="30" t="str">
        <f t="shared" si="11"/>
        <v>-</v>
      </c>
      <c r="N25" s="30">
        <f t="shared" si="12"/>
        <v>1</v>
      </c>
      <c r="O25" s="30" t="str">
        <f t="shared" si="13"/>
        <v>-</v>
      </c>
      <c r="P25" s="30">
        <f t="shared" si="14"/>
        <v>1</v>
      </c>
      <c r="Q25" s="30" t="str">
        <f t="shared" si="15"/>
        <v>-</v>
      </c>
      <c r="R25" s="30">
        <f t="shared" si="16"/>
        <v>1</v>
      </c>
    </row>
    <row r="26" spans="2:18" x14ac:dyDescent="0.35">
      <c r="B26" s="22" t="s">
        <v>35</v>
      </c>
      <c r="C26" s="30">
        <f t="shared" si="1"/>
        <v>1</v>
      </c>
      <c r="D26" s="30">
        <f t="shared" si="2"/>
        <v>1</v>
      </c>
      <c r="E26" s="30">
        <f t="shared" si="3"/>
        <v>1</v>
      </c>
      <c r="F26" s="30">
        <f t="shared" si="4"/>
        <v>1</v>
      </c>
      <c r="G26" s="30">
        <f t="shared" si="5"/>
        <v>1</v>
      </c>
      <c r="H26" s="30">
        <f t="shared" si="6"/>
        <v>1</v>
      </c>
      <c r="I26" s="30" t="str">
        <f t="shared" si="7"/>
        <v>-</v>
      </c>
      <c r="J26" s="30">
        <f t="shared" si="8"/>
        <v>1</v>
      </c>
      <c r="K26" s="30">
        <f t="shared" si="9"/>
        <v>1</v>
      </c>
      <c r="L26" s="30">
        <f t="shared" si="10"/>
        <v>1</v>
      </c>
      <c r="M26" s="30" t="str">
        <f t="shared" si="11"/>
        <v>-</v>
      </c>
      <c r="N26" s="30" t="str">
        <f t="shared" si="12"/>
        <v>-</v>
      </c>
      <c r="O26" s="30" t="str">
        <f t="shared" si="13"/>
        <v>-</v>
      </c>
      <c r="P26" s="30">
        <f t="shared" si="14"/>
        <v>1</v>
      </c>
      <c r="Q26" s="30" t="str">
        <f t="shared" si="15"/>
        <v>-</v>
      </c>
      <c r="R26" s="30">
        <f t="shared" si="16"/>
        <v>1</v>
      </c>
    </row>
    <row r="27" spans="2:18" x14ac:dyDescent="0.35">
      <c r="B27" s="23" t="s">
        <v>36</v>
      </c>
      <c r="C27" s="30">
        <f t="shared" si="1"/>
        <v>1</v>
      </c>
      <c r="D27" s="30" t="str">
        <f t="shared" si="2"/>
        <v>-</v>
      </c>
      <c r="E27" s="30">
        <f t="shared" si="3"/>
        <v>1</v>
      </c>
      <c r="F27" s="30" t="str">
        <f t="shared" si="4"/>
        <v>-</v>
      </c>
      <c r="G27" s="30">
        <f t="shared" si="5"/>
        <v>1</v>
      </c>
      <c r="H27" s="30">
        <f t="shared" si="6"/>
        <v>1</v>
      </c>
      <c r="I27" s="30" t="str">
        <f t="shared" si="7"/>
        <v>-</v>
      </c>
      <c r="J27" s="30">
        <f t="shared" si="8"/>
        <v>1</v>
      </c>
      <c r="K27" s="30">
        <f t="shared" si="9"/>
        <v>1</v>
      </c>
      <c r="L27" s="30">
        <f t="shared" si="10"/>
        <v>1</v>
      </c>
      <c r="M27" s="30" t="str">
        <f t="shared" si="11"/>
        <v>-</v>
      </c>
      <c r="N27" s="30">
        <f t="shared" si="12"/>
        <v>1</v>
      </c>
      <c r="O27" s="30" t="str">
        <f t="shared" si="13"/>
        <v>-</v>
      </c>
      <c r="P27" s="30">
        <f t="shared" si="14"/>
        <v>1</v>
      </c>
      <c r="Q27" s="30" t="str">
        <f t="shared" si="15"/>
        <v>-</v>
      </c>
      <c r="R27" s="30">
        <f t="shared" si="16"/>
        <v>1</v>
      </c>
    </row>
    <row r="28" spans="2:18" x14ac:dyDescent="0.35">
      <c r="B28" s="23" t="s">
        <v>37</v>
      </c>
      <c r="C28" s="30">
        <f t="shared" si="1"/>
        <v>1</v>
      </c>
      <c r="D28" s="30">
        <f t="shared" si="2"/>
        <v>1</v>
      </c>
      <c r="E28" s="30">
        <f t="shared" si="3"/>
        <v>1</v>
      </c>
      <c r="F28" s="30" t="str">
        <f t="shared" si="4"/>
        <v>-</v>
      </c>
      <c r="G28" s="30">
        <f t="shared" si="5"/>
        <v>1</v>
      </c>
      <c r="H28" s="30">
        <f t="shared" si="6"/>
        <v>1</v>
      </c>
      <c r="I28" s="30" t="str">
        <f t="shared" si="7"/>
        <v>-</v>
      </c>
      <c r="J28" s="30">
        <f t="shared" si="8"/>
        <v>1</v>
      </c>
      <c r="K28" s="30">
        <f t="shared" si="9"/>
        <v>1</v>
      </c>
      <c r="L28" s="30">
        <f t="shared" si="10"/>
        <v>1</v>
      </c>
      <c r="M28" s="30" t="str">
        <f t="shared" si="11"/>
        <v>-</v>
      </c>
      <c r="N28" s="30">
        <f t="shared" si="12"/>
        <v>1</v>
      </c>
      <c r="O28" s="30" t="str">
        <f t="shared" si="13"/>
        <v>-</v>
      </c>
      <c r="P28" s="30" t="str">
        <f t="shared" si="14"/>
        <v>-</v>
      </c>
      <c r="Q28" s="30" t="str">
        <f t="shared" si="15"/>
        <v>-</v>
      </c>
      <c r="R28" s="30">
        <f t="shared" si="16"/>
        <v>1</v>
      </c>
    </row>
    <row r="29" spans="2:18" x14ac:dyDescent="0.35">
      <c r="B29" s="23" t="s">
        <v>57</v>
      </c>
      <c r="C29" s="30" t="str">
        <f t="shared" si="1"/>
        <v>-</v>
      </c>
      <c r="D29" s="30" t="str">
        <f t="shared" si="2"/>
        <v>-</v>
      </c>
      <c r="E29" s="30">
        <f t="shared" si="3"/>
        <v>1</v>
      </c>
      <c r="F29" s="30">
        <f t="shared" si="4"/>
        <v>1</v>
      </c>
      <c r="G29" s="30">
        <f t="shared" si="5"/>
        <v>1</v>
      </c>
      <c r="H29" s="30">
        <f t="shared" si="6"/>
        <v>1</v>
      </c>
      <c r="I29" s="30" t="str">
        <f t="shared" si="7"/>
        <v>-</v>
      </c>
      <c r="J29" s="30">
        <f t="shared" si="8"/>
        <v>1</v>
      </c>
      <c r="K29" s="30">
        <f t="shared" si="9"/>
        <v>1</v>
      </c>
      <c r="L29" s="30">
        <f t="shared" si="10"/>
        <v>1</v>
      </c>
      <c r="M29" s="30" t="str">
        <f t="shared" si="11"/>
        <v>-</v>
      </c>
      <c r="N29" s="30" t="str">
        <f t="shared" si="12"/>
        <v>-</v>
      </c>
      <c r="O29" s="30" t="str">
        <f t="shared" si="13"/>
        <v>-</v>
      </c>
      <c r="P29" s="30">
        <f t="shared" si="14"/>
        <v>1</v>
      </c>
      <c r="Q29" s="30" t="str">
        <f t="shared" si="15"/>
        <v>-</v>
      </c>
      <c r="R29" s="30" t="str">
        <f t="shared" si="16"/>
        <v>-</v>
      </c>
    </row>
  </sheetData>
  <mergeCells count="1">
    <mergeCell ref="S4:S5"/>
  </mergeCells>
  <conditionalFormatting sqref="C21:R29">
    <cfRule type="colorScale" priority="44">
      <colorScale>
        <cfvo type="min"/>
        <cfvo type="max"/>
        <color rgb="FFFCFCFF"/>
        <color rgb="FF63BE7B"/>
      </colorScale>
    </cfRule>
  </conditionalFormatting>
  <conditionalFormatting sqref="C6:R14">
    <cfRule type="cellIs" dxfId="4068" priority="1" operator="equal">
      <formula>"PHI"</formula>
    </cfRule>
    <cfRule type="cellIs" dxfId="4067" priority="2" operator="equal">
      <formula>"GB"</formula>
    </cfRule>
    <cfRule type="cellIs" dxfId="4066" priority="3" operator="equal">
      <formula>"MIN"</formula>
    </cfRule>
    <cfRule type="cellIs" dxfId="4065" priority="4" operator="equal">
      <formula>"NYG"</formula>
    </cfRule>
    <cfRule type="cellIs" dxfId="4064" priority="5" operator="equal">
      <formula>"PIT"</formula>
    </cfRule>
    <cfRule type="cellIs" dxfId="4063" priority="6" operator="equal">
      <formula>"KC"</formula>
    </cfRule>
    <cfRule type="cellIs" dxfId="4062" priority="7" operator="equal">
      <formula>"ARI"</formula>
    </cfRule>
    <cfRule type="cellIs" dxfId="4061" priority="8" operator="equal">
      <formula>"LA"</formula>
    </cfRule>
    <cfRule type="cellIs" dxfId="4060" priority="9" operator="equal">
      <formula>"SD"</formula>
    </cfRule>
    <cfRule type="cellIs" dxfId="4059" priority="10" operator="equal">
      <formula>"NO"</formula>
    </cfRule>
    <cfRule type="cellIs" dxfId="4058" priority="11" operator="equal">
      <formula>"SF"</formula>
    </cfRule>
    <cfRule type="cellIs" dxfId="4057" priority="12" operator="equal">
      <formula>"DAL"</formula>
    </cfRule>
    <cfRule type="cellIs" dxfId="4056" priority="13" operator="equal">
      <formula>"TB"</formula>
    </cfRule>
    <cfRule type="cellIs" dxfId="4055" priority="14" operator="equal">
      <formula>"DEN"</formula>
    </cfRule>
    <cfRule type="cellIs" dxfId="4054" priority="15" operator="equal">
      <formula>"BAL"</formula>
    </cfRule>
    <cfRule type="cellIs" dxfId="4053" priority="16" operator="equal">
      <formula>"OAK"</formula>
    </cfRule>
    <cfRule type="cellIs" dxfId="4052" priority="17" operator="equal">
      <formula>"HOU"</formula>
    </cfRule>
    <cfRule type="cellIs" dxfId="4051" priority="18" operator="equal">
      <formula>"TEN"</formula>
    </cfRule>
    <cfRule type="cellIs" dxfId="4050" priority="19" operator="equal">
      <formula>"CHI"</formula>
    </cfRule>
    <cfRule type="cellIs" dxfId="4049" priority="20" operator="equal">
      <formula>"DET"</formula>
    </cfRule>
    <cfRule type="cellIs" dxfId="4048" priority="21" operator="equal">
      <formula>"ATL"</formula>
    </cfRule>
    <cfRule type="cellIs" dxfId="4047" priority="22" operator="equal">
      <formula>"CAR"</formula>
    </cfRule>
    <cfRule type="cellIs" dxfId="4046" priority="23" operator="equal">
      <formula>"IND"</formula>
    </cfRule>
    <cfRule type="cellIs" dxfId="4045" priority="24" operator="equal">
      <formula>"JAX"</formula>
    </cfRule>
    <cfRule type="cellIs" dxfId="4044" priority="25" operator="equal">
      <formula>"NYJ"</formula>
    </cfRule>
    <cfRule type="cellIs" dxfId="4043" priority="26" operator="equal">
      <formula>"SEA"</formula>
    </cfRule>
    <cfRule type="cellIs" dxfId="4042" priority="27" operator="equal">
      <formula>"NE"</formula>
    </cfRule>
    <cfRule type="cellIs" dxfId="4041" priority="28" operator="equal">
      <formula>"BUF"</formula>
    </cfRule>
    <cfRule type="cellIs" dxfId="4040" priority="29" operator="equal">
      <formula>"WAS"</formula>
    </cfRule>
    <cfRule type="cellIs" dxfId="4039" priority="30" operator="equal">
      <formula>"CLE"</formula>
    </cfRule>
    <cfRule type="cellIs" dxfId="4038" priority="31" operator="equal">
      <formula>"CIN"</formula>
    </cfRule>
    <cfRule type="cellIs" dxfId="4037" priority="32" operator="equal">
      <formula>"MIA"</formula>
    </cfRule>
  </conditionalFormatting>
  <pageMargins left="0.7" right="0.7" top="0.75" bottom="0.75" header="0.3" footer="0.3"/>
  <pageSetup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S28"/>
  <sheetViews>
    <sheetView zoomScaleNormal="100" workbookViewId="0"/>
  </sheetViews>
  <sheetFormatPr defaultRowHeight="14.5" x14ac:dyDescent="0.35"/>
  <cols>
    <col min="2" max="2" width="10.90625" bestFit="1" customWidth="1"/>
    <col min="3" max="3" width="8.81640625" bestFit="1" customWidth="1"/>
    <col min="4" max="4" width="9.08984375" bestFit="1" customWidth="1"/>
    <col min="5" max="5" width="9.54296875" bestFit="1" customWidth="1"/>
    <col min="7" max="7" width="8.6328125" bestFit="1" customWidth="1"/>
    <col min="8" max="8" width="9" bestFit="1" customWidth="1"/>
    <col min="9" max="9" width="10.08984375" bestFit="1" customWidth="1"/>
    <col min="10" max="10" width="8.26953125" bestFit="1" customWidth="1"/>
    <col min="11" max="11" width="9.54296875" bestFit="1" customWidth="1"/>
    <col min="12" max="12" width="7.54296875" bestFit="1" customWidth="1"/>
    <col min="13" max="13" width="6.7265625" bestFit="1" customWidth="1"/>
    <col min="14" max="14" width="8.1796875" bestFit="1" customWidth="1"/>
    <col min="15" max="15" width="7.7265625" bestFit="1" customWidth="1"/>
    <col min="16" max="16" width="7.90625" bestFit="1" customWidth="1"/>
    <col min="17" max="17" width="8.81640625" bestFit="1" customWidth="1"/>
    <col min="18" max="18" width="8.26953125" bestFit="1" customWidth="1"/>
  </cols>
  <sheetData>
    <row r="3" spans="2:19" ht="15" thickBot="1" x14ac:dyDescent="0.4"/>
    <row r="4" spans="2:19" ht="15.5" thickTop="1" thickBot="1" x14ac:dyDescent="0.4">
      <c r="B4" s="11" t="s">
        <v>0</v>
      </c>
      <c r="C4" s="21" t="s">
        <v>125</v>
      </c>
      <c r="D4" s="21" t="s">
        <v>126</v>
      </c>
      <c r="E4" s="21" t="s">
        <v>127</v>
      </c>
      <c r="F4" s="21" t="s">
        <v>128</v>
      </c>
      <c r="G4" s="38" t="s">
        <v>145</v>
      </c>
      <c r="H4" s="21" t="s">
        <v>129</v>
      </c>
      <c r="I4" s="21" t="s">
        <v>130</v>
      </c>
      <c r="J4" s="21" t="s">
        <v>131</v>
      </c>
      <c r="K4" s="21" t="s">
        <v>132</v>
      </c>
      <c r="L4" s="21" t="s">
        <v>133</v>
      </c>
      <c r="M4" s="21" t="s">
        <v>134</v>
      </c>
      <c r="N4" s="21" t="s">
        <v>135</v>
      </c>
      <c r="O4" s="21" t="s">
        <v>136</v>
      </c>
      <c r="P4" s="21" t="s">
        <v>137</v>
      </c>
      <c r="Q4" s="21" t="s">
        <v>138</v>
      </c>
      <c r="R4" s="21" t="s">
        <v>139</v>
      </c>
      <c r="S4" s="406" t="s">
        <v>92</v>
      </c>
    </row>
    <row r="5" spans="2:19" ht="15.5" thickTop="1" thickBot="1" x14ac:dyDescent="0.4">
      <c r="B5" s="26" t="s">
        <v>1</v>
      </c>
      <c r="C5" s="8" t="s">
        <v>19</v>
      </c>
      <c r="D5" s="8" t="s">
        <v>20</v>
      </c>
      <c r="E5" s="8" t="s">
        <v>22</v>
      </c>
      <c r="F5" s="8" t="s">
        <v>24</v>
      </c>
      <c r="G5" s="8" t="s">
        <v>140</v>
      </c>
      <c r="H5" s="8" t="s">
        <v>26</v>
      </c>
      <c r="I5" s="8" t="s">
        <v>141</v>
      </c>
      <c r="J5" s="8" t="s">
        <v>116</v>
      </c>
      <c r="K5" s="8" t="s">
        <v>142</v>
      </c>
      <c r="L5" s="8" t="s">
        <v>143</v>
      </c>
      <c r="M5" s="8" t="s">
        <v>141</v>
      </c>
      <c r="N5" s="8" t="s">
        <v>144</v>
      </c>
      <c r="O5" s="8" t="s">
        <v>20</v>
      </c>
      <c r="P5" s="8" t="s">
        <v>20</v>
      </c>
      <c r="Q5" s="8" t="s">
        <v>141</v>
      </c>
      <c r="R5" s="27" t="s">
        <v>20</v>
      </c>
      <c r="S5" s="407"/>
    </row>
    <row r="6" spans="2:19" ht="15" thickTop="1" x14ac:dyDescent="0.35">
      <c r="B6" s="22" t="s">
        <v>3</v>
      </c>
      <c r="C6" s="128" t="s">
        <v>89</v>
      </c>
      <c r="D6" s="128" t="s">
        <v>62</v>
      </c>
      <c r="E6" s="128" t="s">
        <v>74</v>
      </c>
      <c r="F6" s="128" t="s">
        <v>118</v>
      </c>
      <c r="G6" s="128" t="s">
        <v>122</v>
      </c>
      <c r="H6" s="128" t="s">
        <v>121</v>
      </c>
      <c r="I6" s="128" t="s">
        <v>68</v>
      </c>
      <c r="J6" s="128" t="s">
        <v>64</v>
      </c>
      <c r="K6" s="128" t="s">
        <v>33</v>
      </c>
      <c r="L6" s="128" t="s">
        <v>67</v>
      </c>
      <c r="M6" s="128" t="s">
        <v>73</v>
      </c>
      <c r="N6" s="128" t="s">
        <v>76</v>
      </c>
      <c r="O6" s="128" t="s">
        <v>60</v>
      </c>
      <c r="P6" s="128" t="s">
        <v>69</v>
      </c>
      <c r="Q6" s="128" t="s">
        <v>90</v>
      </c>
      <c r="R6" s="128" t="s">
        <v>61</v>
      </c>
      <c r="S6" s="196">
        <f t="shared" ref="S6:S14" si="0">SUM(C20:R20)</f>
        <v>8</v>
      </c>
    </row>
    <row r="7" spans="2:19" x14ac:dyDescent="0.35">
      <c r="B7" s="22" t="s">
        <v>29</v>
      </c>
      <c r="C7" s="128" t="s">
        <v>89</v>
      </c>
      <c r="D7" s="128" t="s">
        <v>34</v>
      </c>
      <c r="E7" s="128" t="s">
        <v>74</v>
      </c>
      <c r="F7" s="128" t="s">
        <v>118</v>
      </c>
      <c r="G7" s="128" t="s">
        <v>122</v>
      </c>
      <c r="H7" s="128" t="s">
        <v>121</v>
      </c>
      <c r="I7" s="128" t="s">
        <v>68</v>
      </c>
      <c r="J7" s="128" t="s">
        <v>64</v>
      </c>
      <c r="K7" s="128" t="s">
        <v>33</v>
      </c>
      <c r="L7" s="128" t="s">
        <v>72</v>
      </c>
      <c r="M7" s="128" t="s">
        <v>73</v>
      </c>
      <c r="N7" s="128" t="s">
        <v>76</v>
      </c>
      <c r="O7" s="128" t="s">
        <v>60</v>
      </c>
      <c r="P7" s="128" t="s">
        <v>69</v>
      </c>
      <c r="Q7" s="128" t="s">
        <v>90</v>
      </c>
      <c r="R7" s="128" t="s">
        <v>58</v>
      </c>
      <c r="S7" s="197">
        <f t="shared" si="0"/>
        <v>9</v>
      </c>
    </row>
    <row r="8" spans="2:19" x14ac:dyDescent="0.35">
      <c r="B8" s="22" t="s">
        <v>30</v>
      </c>
      <c r="C8" s="128" t="s">
        <v>66</v>
      </c>
      <c r="D8" s="128" t="s">
        <v>34</v>
      </c>
      <c r="E8" s="128" t="s">
        <v>74</v>
      </c>
      <c r="F8" s="128" t="s">
        <v>118</v>
      </c>
      <c r="G8" s="128" t="s">
        <v>122</v>
      </c>
      <c r="H8" s="128" t="s">
        <v>121</v>
      </c>
      <c r="I8" s="128" t="s">
        <v>71</v>
      </c>
      <c r="J8" s="128" t="s">
        <v>64</v>
      </c>
      <c r="K8" s="128" t="s">
        <v>33</v>
      </c>
      <c r="L8" s="128" t="s">
        <v>67</v>
      </c>
      <c r="M8" s="128" t="s">
        <v>73</v>
      </c>
      <c r="N8" s="128" t="s">
        <v>76</v>
      </c>
      <c r="O8" s="128" t="s">
        <v>60</v>
      </c>
      <c r="P8" s="128" t="s">
        <v>69</v>
      </c>
      <c r="Q8" s="128" t="s">
        <v>90</v>
      </c>
      <c r="R8" s="128" t="s">
        <v>61</v>
      </c>
      <c r="S8" s="196">
        <f t="shared" si="0"/>
        <v>9</v>
      </c>
    </row>
    <row r="9" spans="2:19" x14ac:dyDescent="0.35">
      <c r="B9" s="22" t="s">
        <v>31</v>
      </c>
      <c r="C9" s="116" t="s">
        <v>66</v>
      </c>
      <c r="D9" s="116" t="s">
        <v>62</v>
      </c>
      <c r="E9" s="116" t="s">
        <v>74</v>
      </c>
      <c r="F9" s="116" t="s">
        <v>118</v>
      </c>
      <c r="G9" s="116" t="s">
        <v>91</v>
      </c>
      <c r="H9" s="116" t="s">
        <v>121</v>
      </c>
      <c r="I9" s="116" t="s">
        <v>68</v>
      </c>
      <c r="J9" s="116" t="s">
        <v>64</v>
      </c>
      <c r="K9" s="116" t="s">
        <v>33</v>
      </c>
      <c r="L9" s="116" t="s">
        <v>67</v>
      </c>
      <c r="M9" s="116" t="s">
        <v>77</v>
      </c>
      <c r="N9" s="116" t="s">
        <v>76</v>
      </c>
      <c r="O9" s="116" t="s">
        <v>60</v>
      </c>
      <c r="P9" s="116" t="s">
        <v>69</v>
      </c>
      <c r="Q9" s="116" t="s">
        <v>88</v>
      </c>
      <c r="R9" s="116" t="s">
        <v>58</v>
      </c>
      <c r="S9" s="197">
        <f t="shared" si="0"/>
        <v>9</v>
      </c>
    </row>
    <row r="10" spans="2:19" x14ac:dyDescent="0.35">
      <c r="B10" s="22" t="s">
        <v>32</v>
      </c>
      <c r="C10" s="128" t="s">
        <v>66</v>
      </c>
      <c r="D10" s="128" t="s">
        <v>62</v>
      </c>
      <c r="E10" s="128" t="s">
        <v>74</v>
      </c>
      <c r="F10" s="128" t="s">
        <v>118</v>
      </c>
      <c r="G10" s="128" t="s">
        <v>91</v>
      </c>
      <c r="H10" s="128" t="s">
        <v>121</v>
      </c>
      <c r="I10" s="128" t="s">
        <v>68</v>
      </c>
      <c r="J10" s="128" t="s">
        <v>64</v>
      </c>
      <c r="K10" s="128" t="s">
        <v>33</v>
      </c>
      <c r="L10" s="128" t="s">
        <v>67</v>
      </c>
      <c r="M10" s="128" t="s">
        <v>73</v>
      </c>
      <c r="N10" s="128" t="s">
        <v>76</v>
      </c>
      <c r="O10" s="128" t="s">
        <v>60</v>
      </c>
      <c r="P10" s="128" t="s">
        <v>69</v>
      </c>
      <c r="Q10" s="128" t="s">
        <v>90</v>
      </c>
      <c r="R10" s="128" t="s">
        <v>61</v>
      </c>
      <c r="S10" s="196">
        <f t="shared" si="0"/>
        <v>8</v>
      </c>
    </row>
    <row r="11" spans="2:19" x14ac:dyDescent="0.35">
      <c r="B11" s="22" t="s">
        <v>35</v>
      </c>
      <c r="C11" s="128" t="s">
        <v>66</v>
      </c>
      <c r="D11" s="128" t="s">
        <v>62</v>
      </c>
      <c r="E11" s="128" t="s">
        <v>74</v>
      </c>
      <c r="F11" s="128" t="s">
        <v>118</v>
      </c>
      <c r="G11" s="128" t="s">
        <v>122</v>
      </c>
      <c r="H11" s="128" t="s">
        <v>121</v>
      </c>
      <c r="I11" s="128" t="s">
        <v>68</v>
      </c>
      <c r="J11" s="128" t="s">
        <v>64</v>
      </c>
      <c r="K11" s="128" t="s">
        <v>33</v>
      </c>
      <c r="L11" s="128" t="s">
        <v>67</v>
      </c>
      <c r="M11" s="128" t="s">
        <v>77</v>
      </c>
      <c r="N11" s="128" t="s">
        <v>76</v>
      </c>
      <c r="O11" s="128" t="s">
        <v>60</v>
      </c>
      <c r="P11" s="128" t="s">
        <v>69</v>
      </c>
      <c r="Q11" s="128" t="s">
        <v>90</v>
      </c>
      <c r="R11" s="128" t="s">
        <v>58</v>
      </c>
      <c r="S11" s="197">
        <f t="shared" si="0"/>
        <v>9</v>
      </c>
    </row>
    <row r="12" spans="2:19" x14ac:dyDescent="0.35">
      <c r="B12" s="29" t="s">
        <v>36</v>
      </c>
      <c r="C12" s="128" t="s">
        <v>66</v>
      </c>
      <c r="D12" s="128" t="s">
        <v>34</v>
      </c>
      <c r="E12" s="128" t="s">
        <v>74</v>
      </c>
      <c r="F12" s="128" t="s">
        <v>118</v>
      </c>
      <c r="G12" s="128" t="s">
        <v>91</v>
      </c>
      <c r="H12" s="128" t="s">
        <v>121</v>
      </c>
      <c r="I12" s="128" t="s">
        <v>68</v>
      </c>
      <c r="J12" s="128" t="s">
        <v>64</v>
      </c>
      <c r="K12" s="128" t="s">
        <v>33</v>
      </c>
      <c r="L12" s="128" t="s">
        <v>67</v>
      </c>
      <c r="M12" s="128" t="s">
        <v>77</v>
      </c>
      <c r="N12" s="128" t="s">
        <v>76</v>
      </c>
      <c r="O12" s="128" t="s">
        <v>60</v>
      </c>
      <c r="P12" s="128" t="s">
        <v>69</v>
      </c>
      <c r="Q12" s="128" t="s">
        <v>90</v>
      </c>
      <c r="R12" s="128" t="s">
        <v>58</v>
      </c>
      <c r="S12" s="196">
        <f t="shared" si="0"/>
        <v>11</v>
      </c>
    </row>
    <row r="13" spans="2:19" x14ac:dyDescent="0.35">
      <c r="B13" s="29" t="s">
        <v>37</v>
      </c>
      <c r="C13" s="128" t="s">
        <v>89</v>
      </c>
      <c r="D13" s="128" t="s">
        <v>34</v>
      </c>
      <c r="E13" s="128" t="s">
        <v>74</v>
      </c>
      <c r="F13" s="128" t="s">
        <v>118</v>
      </c>
      <c r="G13" s="128" t="s">
        <v>91</v>
      </c>
      <c r="H13" s="128" t="s">
        <v>121</v>
      </c>
      <c r="I13" s="128" t="s">
        <v>68</v>
      </c>
      <c r="J13" s="128" t="s">
        <v>64</v>
      </c>
      <c r="K13" s="128" t="s">
        <v>33</v>
      </c>
      <c r="L13" s="128" t="s">
        <v>67</v>
      </c>
      <c r="M13" s="128" t="s">
        <v>73</v>
      </c>
      <c r="N13" s="128" t="s">
        <v>76</v>
      </c>
      <c r="O13" s="128" t="s">
        <v>60</v>
      </c>
      <c r="P13" s="128" t="s">
        <v>119</v>
      </c>
      <c r="Q13" s="128" t="s">
        <v>90</v>
      </c>
      <c r="R13" s="128" t="s">
        <v>58</v>
      </c>
      <c r="S13" s="197">
        <f t="shared" si="0"/>
        <v>10</v>
      </c>
    </row>
    <row r="14" spans="2:19" ht="15" thickBot="1" x14ac:dyDescent="0.4">
      <c r="B14" s="29" t="s">
        <v>57</v>
      </c>
      <c r="C14" s="128" t="s">
        <v>89</v>
      </c>
      <c r="D14" s="128" t="s">
        <v>62</v>
      </c>
      <c r="E14" s="128" t="s">
        <v>74</v>
      </c>
      <c r="F14" s="128" t="s">
        <v>118</v>
      </c>
      <c r="G14" s="128" t="s">
        <v>122</v>
      </c>
      <c r="H14" s="128" t="s">
        <v>121</v>
      </c>
      <c r="I14" s="128" t="s">
        <v>68</v>
      </c>
      <c r="J14" s="128" t="s">
        <v>64</v>
      </c>
      <c r="K14" s="128" t="s">
        <v>33</v>
      </c>
      <c r="L14" s="128" t="s">
        <v>67</v>
      </c>
      <c r="M14" s="128" t="s">
        <v>73</v>
      </c>
      <c r="N14" s="128" t="s">
        <v>76</v>
      </c>
      <c r="O14" s="128" t="s">
        <v>60</v>
      </c>
      <c r="P14" s="128" t="s">
        <v>69</v>
      </c>
      <c r="Q14" s="128" t="s">
        <v>90</v>
      </c>
      <c r="R14" s="128" t="s">
        <v>61</v>
      </c>
      <c r="S14" s="227">
        <f t="shared" si="0"/>
        <v>8</v>
      </c>
    </row>
    <row r="15" spans="2:19" ht="15" thickTop="1" x14ac:dyDescent="0.35"/>
    <row r="18" spans="2:18" ht="15.5" customHeight="1" thickBot="1" x14ac:dyDescent="0.4">
      <c r="B18" s="11" t="s">
        <v>0</v>
      </c>
      <c r="C18" s="21" t="s">
        <v>125</v>
      </c>
      <c r="D18" s="21" t="s">
        <v>126</v>
      </c>
      <c r="E18" s="21" t="s">
        <v>127</v>
      </c>
      <c r="F18" s="21" t="s">
        <v>128</v>
      </c>
      <c r="G18" s="41" t="s">
        <v>145</v>
      </c>
      <c r="H18" s="21" t="s">
        <v>129</v>
      </c>
      <c r="I18" s="21" t="s">
        <v>130</v>
      </c>
      <c r="J18" s="21" t="s">
        <v>131</v>
      </c>
      <c r="K18" s="21" t="s">
        <v>132</v>
      </c>
      <c r="L18" s="21" t="s">
        <v>133</v>
      </c>
      <c r="M18" s="21" t="s">
        <v>134</v>
      </c>
      <c r="N18" s="21" t="s">
        <v>135</v>
      </c>
      <c r="O18" s="21" t="s">
        <v>136</v>
      </c>
      <c r="P18" s="21" t="s">
        <v>137</v>
      </c>
      <c r="Q18" s="21" t="s">
        <v>138</v>
      </c>
      <c r="R18" s="21" t="s">
        <v>139</v>
      </c>
    </row>
    <row r="19" spans="2:18" ht="15.5" thickTop="1" thickBot="1" x14ac:dyDescent="0.4">
      <c r="B19" s="26" t="s">
        <v>1</v>
      </c>
      <c r="C19" s="8" t="s">
        <v>19</v>
      </c>
      <c r="D19" s="8" t="s">
        <v>20</v>
      </c>
      <c r="E19" s="8" t="s">
        <v>22</v>
      </c>
      <c r="F19" s="8" t="s">
        <v>24</v>
      </c>
      <c r="G19" s="8" t="s">
        <v>140</v>
      </c>
      <c r="H19" s="8" t="s">
        <v>26</v>
      </c>
      <c r="I19" s="8" t="s">
        <v>141</v>
      </c>
      <c r="J19" s="8" t="s">
        <v>116</v>
      </c>
      <c r="K19" s="8" t="s">
        <v>142</v>
      </c>
      <c r="L19" s="8" t="s">
        <v>143</v>
      </c>
      <c r="M19" s="8" t="s">
        <v>141</v>
      </c>
      <c r="N19" s="8" t="s">
        <v>144</v>
      </c>
      <c r="O19" s="8" t="s">
        <v>20</v>
      </c>
      <c r="P19" s="8" t="s">
        <v>20</v>
      </c>
      <c r="Q19" s="8" t="s">
        <v>141</v>
      </c>
      <c r="R19" s="27" t="s">
        <v>20</v>
      </c>
    </row>
    <row r="20" spans="2:18" ht="15" thickTop="1" x14ac:dyDescent="0.35">
      <c r="B20" s="22" t="s">
        <v>3</v>
      </c>
      <c r="C20" s="37">
        <f>IF(C6="NE",1,"-")</f>
        <v>1</v>
      </c>
      <c r="D20" s="37" t="str">
        <f>IF(D6="DEN",1,"-")</f>
        <v>-</v>
      </c>
      <c r="E20" s="37">
        <f>IF(E6="OAK",1,"-")</f>
        <v>1</v>
      </c>
      <c r="F20" s="37" t="str">
        <f>IF(F6="BUF",1,"-")</f>
        <v>-</v>
      </c>
      <c r="G20" s="37" t="str">
        <f>IF(G6="BAL",1,"-")</f>
        <v>-</v>
      </c>
      <c r="H20" s="37">
        <f>IF(H6="MIA",1,"-")</f>
        <v>1</v>
      </c>
      <c r="I20" s="37" t="str">
        <f>IF(I6="WAS",1,"-")</f>
        <v>-</v>
      </c>
      <c r="J20" s="37">
        <f>IF(J6="GB",1,"-")</f>
        <v>1</v>
      </c>
      <c r="K20" s="37" t="str">
        <f>IF(K6="MIN",1,"-")</f>
        <v>-</v>
      </c>
      <c r="L20" s="37">
        <f>IF(L6="SEA",1,"-")</f>
        <v>1</v>
      </c>
      <c r="M20" s="37" t="str">
        <f>IF(M6="LA",1,"-")</f>
        <v>-</v>
      </c>
      <c r="N20" s="37" t="str">
        <f>IF(N6="PHI",1,"-")</f>
        <v>-</v>
      </c>
      <c r="O20" s="37">
        <f>IF(O6="KC",1,"-")</f>
        <v>1</v>
      </c>
      <c r="P20" s="37">
        <f>IF(P6="IND",1,"-")</f>
        <v>1</v>
      </c>
      <c r="Q20" s="37">
        <f>IF(Q6="DAL",1,"-")</f>
        <v>1</v>
      </c>
      <c r="R20" s="37" t="str">
        <f>IF(R6="ATL",1,"-")</f>
        <v>-</v>
      </c>
    </row>
    <row r="21" spans="2:18" x14ac:dyDescent="0.35">
      <c r="B21" s="22" t="s">
        <v>29</v>
      </c>
      <c r="C21" s="42">
        <f t="shared" ref="C21:C28" si="1">IF(C7="NE",1,"-")</f>
        <v>1</v>
      </c>
      <c r="D21" s="42">
        <f t="shared" ref="D21:D28" si="2">IF(D7="DEN",1,"-")</f>
        <v>1</v>
      </c>
      <c r="E21" s="42">
        <f t="shared" ref="E21:E28" si="3">IF(E7="OAK",1,"-")</f>
        <v>1</v>
      </c>
      <c r="F21" s="42" t="str">
        <f t="shared" ref="F21:F28" si="4">IF(F7="BUF",1,"-")</f>
        <v>-</v>
      </c>
      <c r="G21" s="42" t="str">
        <f t="shared" ref="G21:G28" si="5">IF(G7="BAL",1,"-")</f>
        <v>-</v>
      </c>
      <c r="H21" s="42">
        <f t="shared" ref="H21:H28" si="6">IF(H7="MIA",1,"-")</f>
        <v>1</v>
      </c>
      <c r="I21" s="42" t="str">
        <f t="shared" ref="I21:I28" si="7">IF(I7="WAS",1,"-")</f>
        <v>-</v>
      </c>
      <c r="J21" s="42">
        <f t="shared" ref="J21:J28" si="8">IF(J7="GB",1,"-")</f>
        <v>1</v>
      </c>
      <c r="K21" s="42" t="str">
        <f t="shared" ref="K21:K28" si="9">IF(K7="MIN",1,"-")</f>
        <v>-</v>
      </c>
      <c r="L21" s="42" t="str">
        <f t="shared" ref="L21:L28" si="10">IF(L7="SEA",1,"-")</f>
        <v>-</v>
      </c>
      <c r="M21" s="42" t="str">
        <f t="shared" ref="M21:M28" si="11">IF(M7="LA",1,"-")</f>
        <v>-</v>
      </c>
      <c r="N21" s="42" t="str">
        <f t="shared" ref="N21:N28" si="12">IF(N7="PHI",1,"-")</f>
        <v>-</v>
      </c>
      <c r="O21" s="42">
        <f t="shared" ref="O21:O28" si="13">IF(O7="KC",1,"-")</f>
        <v>1</v>
      </c>
      <c r="P21" s="42">
        <f t="shared" ref="P21:P28" si="14">IF(P7="IND",1,"-")</f>
        <v>1</v>
      </c>
      <c r="Q21" s="42">
        <f t="shared" ref="Q21:Q28" si="15">IF(Q7="DAL",1,"-")</f>
        <v>1</v>
      </c>
      <c r="R21" s="42">
        <f t="shared" ref="R21:R28" si="16">IF(R7="ATL",1,"-")</f>
        <v>1</v>
      </c>
    </row>
    <row r="22" spans="2:18" x14ac:dyDescent="0.35">
      <c r="B22" s="22" t="s">
        <v>30</v>
      </c>
      <c r="C22" s="42" t="str">
        <f t="shared" si="1"/>
        <v>-</v>
      </c>
      <c r="D22" s="42">
        <f t="shared" si="2"/>
        <v>1</v>
      </c>
      <c r="E22" s="42">
        <f t="shared" si="3"/>
        <v>1</v>
      </c>
      <c r="F22" s="42" t="str">
        <f t="shared" si="4"/>
        <v>-</v>
      </c>
      <c r="G22" s="42" t="str">
        <f t="shared" si="5"/>
        <v>-</v>
      </c>
      <c r="H22" s="42">
        <f t="shared" si="6"/>
        <v>1</v>
      </c>
      <c r="I22" s="42">
        <f t="shared" si="7"/>
        <v>1</v>
      </c>
      <c r="J22" s="42">
        <f t="shared" si="8"/>
        <v>1</v>
      </c>
      <c r="K22" s="42" t="str">
        <f t="shared" si="9"/>
        <v>-</v>
      </c>
      <c r="L22" s="42">
        <f t="shared" si="10"/>
        <v>1</v>
      </c>
      <c r="M22" s="42" t="str">
        <f t="shared" si="11"/>
        <v>-</v>
      </c>
      <c r="N22" s="42" t="str">
        <f t="shared" si="12"/>
        <v>-</v>
      </c>
      <c r="O22" s="42">
        <f t="shared" si="13"/>
        <v>1</v>
      </c>
      <c r="P22" s="42">
        <f t="shared" si="14"/>
        <v>1</v>
      </c>
      <c r="Q22" s="42">
        <f t="shared" si="15"/>
        <v>1</v>
      </c>
      <c r="R22" s="42" t="str">
        <f t="shared" si="16"/>
        <v>-</v>
      </c>
    </row>
    <row r="23" spans="2:18" x14ac:dyDescent="0.35">
      <c r="B23" s="22" t="s">
        <v>31</v>
      </c>
      <c r="C23" s="42" t="str">
        <f t="shared" si="1"/>
        <v>-</v>
      </c>
      <c r="D23" s="42" t="str">
        <f t="shared" si="2"/>
        <v>-</v>
      </c>
      <c r="E23" s="42">
        <f t="shared" si="3"/>
        <v>1</v>
      </c>
      <c r="F23" s="42" t="str">
        <f t="shared" si="4"/>
        <v>-</v>
      </c>
      <c r="G23" s="42">
        <f t="shared" si="5"/>
        <v>1</v>
      </c>
      <c r="H23" s="42">
        <f t="shared" si="6"/>
        <v>1</v>
      </c>
      <c r="I23" s="42" t="str">
        <f t="shared" si="7"/>
        <v>-</v>
      </c>
      <c r="J23" s="42">
        <f t="shared" si="8"/>
        <v>1</v>
      </c>
      <c r="K23" s="42" t="str">
        <f t="shared" si="9"/>
        <v>-</v>
      </c>
      <c r="L23" s="42">
        <f t="shared" si="10"/>
        <v>1</v>
      </c>
      <c r="M23" s="42">
        <f t="shared" si="11"/>
        <v>1</v>
      </c>
      <c r="N23" s="42" t="str">
        <f t="shared" si="12"/>
        <v>-</v>
      </c>
      <c r="O23" s="42">
        <f t="shared" si="13"/>
        <v>1</v>
      </c>
      <c r="P23" s="42">
        <f t="shared" si="14"/>
        <v>1</v>
      </c>
      <c r="Q23" s="42" t="str">
        <f t="shared" si="15"/>
        <v>-</v>
      </c>
      <c r="R23" s="42">
        <f t="shared" si="16"/>
        <v>1</v>
      </c>
    </row>
    <row r="24" spans="2:18" x14ac:dyDescent="0.35">
      <c r="B24" s="22" t="s">
        <v>32</v>
      </c>
      <c r="C24" s="42" t="str">
        <f t="shared" si="1"/>
        <v>-</v>
      </c>
      <c r="D24" s="42" t="str">
        <f t="shared" si="2"/>
        <v>-</v>
      </c>
      <c r="E24" s="42">
        <f t="shared" si="3"/>
        <v>1</v>
      </c>
      <c r="F24" s="42" t="str">
        <f t="shared" si="4"/>
        <v>-</v>
      </c>
      <c r="G24" s="42">
        <f t="shared" si="5"/>
        <v>1</v>
      </c>
      <c r="H24" s="42">
        <f t="shared" si="6"/>
        <v>1</v>
      </c>
      <c r="I24" s="42" t="str">
        <f t="shared" si="7"/>
        <v>-</v>
      </c>
      <c r="J24" s="42">
        <f t="shared" si="8"/>
        <v>1</v>
      </c>
      <c r="K24" s="42" t="str">
        <f t="shared" si="9"/>
        <v>-</v>
      </c>
      <c r="L24" s="42">
        <f t="shared" si="10"/>
        <v>1</v>
      </c>
      <c r="M24" s="42" t="str">
        <f t="shared" si="11"/>
        <v>-</v>
      </c>
      <c r="N24" s="42" t="str">
        <f t="shared" si="12"/>
        <v>-</v>
      </c>
      <c r="O24" s="42">
        <f t="shared" si="13"/>
        <v>1</v>
      </c>
      <c r="P24" s="42">
        <f t="shared" si="14"/>
        <v>1</v>
      </c>
      <c r="Q24" s="42">
        <f t="shared" si="15"/>
        <v>1</v>
      </c>
      <c r="R24" s="42" t="str">
        <f t="shared" si="16"/>
        <v>-</v>
      </c>
    </row>
    <row r="25" spans="2:18" x14ac:dyDescent="0.35">
      <c r="B25" s="22" t="s">
        <v>35</v>
      </c>
      <c r="C25" s="42" t="str">
        <f t="shared" si="1"/>
        <v>-</v>
      </c>
      <c r="D25" s="42" t="str">
        <f t="shared" si="2"/>
        <v>-</v>
      </c>
      <c r="E25" s="42">
        <f t="shared" si="3"/>
        <v>1</v>
      </c>
      <c r="F25" s="42" t="str">
        <f t="shared" si="4"/>
        <v>-</v>
      </c>
      <c r="G25" s="42" t="str">
        <f t="shared" si="5"/>
        <v>-</v>
      </c>
      <c r="H25" s="42">
        <f t="shared" si="6"/>
        <v>1</v>
      </c>
      <c r="I25" s="42" t="str">
        <f t="shared" si="7"/>
        <v>-</v>
      </c>
      <c r="J25" s="42">
        <f t="shared" si="8"/>
        <v>1</v>
      </c>
      <c r="K25" s="42" t="str">
        <f t="shared" si="9"/>
        <v>-</v>
      </c>
      <c r="L25" s="42">
        <f t="shared" si="10"/>
        <v>1</v>
      </c>
      <c r="M25" s="42">
        <f t="shared" si="11"/>
        <v>1</v>
      </c>
      <c r="N25" s="42" t="str">
        <f t="shared" si="12"/>
        <v>-</v>
      </c>
      <c r="O25" s="42">
        <f t="shared" si="13"/>
        <v>1</v>
      </c>
      <c r="P25" s="42">
        <f t="shared" si="14"/>
        <v>1</v>
      </c>
      <c r="Q25" s="42">
        <f t="shared" si="15"/>
        <v>1</v>
      </c>
      <c r="R25" s="42">
        <f t="shared" si="16"/>
        <v>1</v>
      </c>
    </row>
    <row r="26" spans="2:18" x14ac:dyDescent="0.35">
      <c r="B26" s="29" t="s">
        <v>36</v>
      </c>
      <c r="C26" s="42" t="str">
        <f t="shared" si="1"/>
        <v>-</v>
      </c>
      <c r="D26" s="42">
        <f t="shared" si="2"/>
        <v>1</v>
      </c>
      <c r="E26" s="42">
        <f t="shared" si="3"/>
        <v>1</v>
      </c>
      <c r="F26" s="42" t="str">
        <f t="shared" si="4"/>
        <v>-</v>
      </c>
      <c r="G26" s="42">
        <f t="shared" si="5"/>
        <v>1</v>
      </c>
      <c r="H26" s="42">
        <f t="shared" si="6"/>
        <v>1</v>
      </c>
      <c r="I26" s="42" t="str">
        <f t="shared" si="7"/>
        <v>-</v>
      </c>
      <c r="J26" s="42">
        <f t="shared" si="8"/>
        <v>1</v>
      </c>
      <c r="K26" s="42" t="str">
        <f t="shared" si="9"/>
        <v>-</v>
      </c>
      <c r="L26" s="42">
        <f t="shared" si="10"/>
        <v>1</v>
      </c>
      <c r="M26" s="42">
        <f t="shared" si="11"/>
        <v>1</v>
      </c>
      <c r="N26" s="42" t="str">
        <f t="shared" si="12"/>
        <v>-</v>
      </c>
      <c r="O26" s="42">
        <f t="shared" si="13"/>
        <v>1</v>
      </c>
      <c r="P26" s="42">
        <f t="shared" si="14"/>
        <v>1</v>
      </c>
      <c r="Q26" s="42">
        <f t="shared" si="15"/>
        <v>1</v>
      </c>
      <c r="R26" s="42">
        <f t="shared" si="16"/>
        <v>1</v>
      </c>
    </row>
    <row r="27" spans="2:18" x14ac:dyDescent="0.35">
      <c r="B27" s="29" t="s">
        <v>37</v>
      </c>
      <c r="C27" s="42">
        <f t="shared" si="1"/>
        <v>1</v>
      </c>
      <c r="D27" s="42">
        <f t="shared" si="2"/>
        <v>1</v>
      </c>
      <c r="E27" s="42">
        <f t="shared" si="3"/>
        <v>1</v>
      </c>
      <c r="F27" s="42" t="str">
        <f t="shared" si="4"/>
        <v>-</v>
      </c>
      <c r="G27" s="42">
        <f t="shared" si="5"/>
        <v>1</v>
      </c>
      <c r="H27" s="42">
        <f t="shared" si="6"/>
        <v>1</v>
      </c>
      <c r="I27" s="42" t="str">
        <f t="shared" si="7"/>
        <v>-</v>
      </c>
      <c r="J27" s="42">
        <f t="shared" si="8"/>
        <v>1</v>
      </c>
      <c r="K27" s="42" t="str">
        <f t="shared" si="9"/>
        <v>-</v>
      </c>
      <c r="L27" s="42">
        <f t="shared" si="10"/>
        <v>1</v>
      </c>
      <c r="M27" s="42" t="str">
        <f t="shared" si="11"/>
        <v>-</v>
      </c>
      <c r="N27" s="42" t="str">
        <f t="shared" si="12"/>
        <v>-</v>
      </c>
      <c r="O27" s="42">
        <f t="shared" si="13"/>
        <v>1</v>
      </c>
      <c r="P27" s="42" t="str">
        <f t="shared" si="14"/>
        <v>-</v>
      </c>
      <c r="Q27" s="42">
        <f t="shared" si="15"/>
        <v>1</v>
      </c>
      <c r="R27" s="42">
        <f t="shared" si="16"/>
        <v>1</v>
      </c>
    </row>
    <row r="28" spans="2:18" x14ac:dyDescent="0.35">
      <c r="B28" s="29" t="s">
        <v>57</v>
      </c>
      <c r="C28" s="42">
        <f t="shared" si="1"/>
        <v>1</v>
      </c>
      <c r="D28" s="42" t="str">
        <f t="shared" si="2"/>
        <v>-</v>
      </c>
      <c r="E28" s="42">
        <f t="shared" si="3"/>
        <v>1</v>
      </c>
      <c r="F28" s="42" t="str">
        <f t="shared" si="4"/>
        <v>-</v>
      </c>
      <c r="G28" s="42" t="str">
        <f t="shared" si="5"/>
        <v>-</v>
      </c>
      <c r="H28" s="42">
        <f t="shared" si="6"/>
        <v>1</v>
      </c>
      <c r="I28" s="42" t="str">
        <f t="shared" si="7"/>
        <v>-</v>
      </c>
      <c r="J28" s="42">
        <f t="shared" si="8"/>
        <v>1</v>
      </c>
      <c r="K28" s="42" t="str">
        <f t="shared" si="9"/>
        <v>-</v>
      </c>
      <c r="L28" s="42">
        <f t="shared" si="10"/>
        <v>1</v>
      </c>
      <c r="M28" s="42" t="str">
        <f t="shared" si="11"/>
        <v>-</v>
      </c>
      <c r="N28" s="42" t="str">
        <f t="shared" si="12"/>
        <v>-</v>
      </c>
      <c r="O28" s="42">
        <f t="shared" si="13"/>
        <v>1</v>
      </c>
      <c r="P28" s="42">
        <f t="shared" si="14"/>
        <v>1</v>
      </c>
      <c r="Q28" s="42">
        <f t="shared" si="15"/>
        <v>1</v>
      </c>
      <c r="R28" s="42" t="str">
        <f t="shared" si="16"/>
        <v>-</v>
      </c>
    </row>
  </sheetData>
  <mergeCells count="1">
    <mergeCell ref="S4:S5"/>
  </mergeCells>
  <conditionalFormatting sqref="C20:R28">
    <cfRule type="colorScale" priority="49">
      <colorScale>
        <cfvo type="min"/>
        <cfvo type="max"/>
        <color rgb="FFFCFCFF"/>
        <color rgb="FF63BE7B"/>
      </colorScale>
    </cfRule>
  </conditionalFormatting>
  <conditionalFormatting sqref="C6:R14">
    <cfRule type="cellIs" dxfId="4010" priority="1" operator="equal">
      <formula>"PHI"</formula>
    </cfRule>
    <cfRule type="cellIs" dxfId="4009" priority="2" operator="equal">
      <formula>"GB"</formula>
    </cfRule>
    <cfRule type="cellIs" dxfId="4008" priority="3" operator="equal">
      <formula>"MIN"</formula>
    </cfRule>
    <cfRule type="cellIs" dxfId="4007" priority="4" operator="equal">
      <formula>"NYG"</formula>
    </cfRule>
    <cfRule type="cellIs" dxfId="4006" priority="5" operator="equal">
      <formula>"PIT"</formula>
    </cfRule>
    <cfRule type="cellIs" dxfId="4005" priority="6" operator="equal">
      <formula>"KC"</formula>
    </cfRule>
    <cfRule type="cellIs" dxfId="4004" priority="7" operator="equal">
      <formula>"ARI"</formula>
    </cfRule>
    <cfRule type="cellIs" dxfId="4003" priority="8" operator="equal">
      <formula>"LA"</formula>
    </cfRule>
    <cfRule type="cellIs" dxfId="4002" priority="9" operator="equal">
      <formula>"SD"</formula>
    </cfRule>
    <cfRule type="cellIs" dxfId="4001" priority="10" operator="equal">
      <formula>"NO"</formula>
    </cfRule>
    <cfRule type="cellIs" dxfId="4000" priority="11" operator="equal">
      <formula>"SF"</formula>
    </cfRule>
    <cfRule type="cellIs" dxfId="3999" priority="12" operator="equal">
      <formula>"DAL"</formula>
    </cfRule>
    <cfRule type="cellIs" dxfId="3998" priority="13" operator="equal">
      <formula>"TB"</formula>
    </cfRule>
    <cfRule type="cellIs" dxfId="3997" priority="14" operator="equal">
      <formula>"DEN"</formula>
    </cfRule>
    <cfRule type="cellIs" dxfId="3996" priority="15" operator="equal">
      <formula>"BAL"</formula>
    </cfRule>
    <cfRule type="cellIs" dxfId="3995" priority="16" operator="equal">
      <formula>"OAK"</formula>
    </cfRule>
    <cfRule type="cellIs" dxfId="3994" priority="17" operator="equal">
      <formula>"HOU"</formula>
    </cfRule>
    <cfRule type="cellIs" dxfId="3993" priority="18" operator="equal">
      <formula>"TEN"</formula>
    </cfRule>
    <cfRule type="cellIs" dxfId="3992" priority="19" operator="equal">
      <formula>"CHI"</formula>
    </cfRule>
    <cfRule type="cellIs" dxfId="3991" priority="20" operator="equal">
      <formula>"DET"</formula>
    </cfRule>
    <cfRule type="cellIs" dxfId="3990" priority="21" operator="equal">
      <formula>"ATL"</formula>
    </cfRule>
    <cfRule type="cellIs" dxfId="3989" priority="22" operator="equal">
      <formula>"CAR"</formula>
    </cfRule>
    <cfRule type="cellIs" dxfId="3988" priority="23" operator="equal">
      <formula>"IND"</formula>
    </cfRule>
    <cfRule type="cellIs" dxfId="3987" priority="24" operator="equal">
      <formula>"JAX"</formula>
    </cfRule>
    <cfRule type="cellIs" dxfId="3986" priority="25" operator="equal">
      <formula>"NYJ"</formula>
    </cfRule>
    <cfRule type="cellIs" dxfId="3985" priority="26" operator="equal">
      <formula>"SEA"</formula>
    </cfRule>
    <cfRule type="cellIs" dxfId="3984" priority="27" operator="equal">
      <formula>"NE"</formula>
    </cfRule>
    <cfRule type="cellIs" dxfId="3983" priority="28" operator="equal">
      <formula>"BUF"</formula>
    </cfRule>
    <cfRule type="cellIs" dxfId="3982" priority="29" operator="equal">
      <formula>"WAS"</formula>
    </cfRule>
    <cfRule type="cellIs" dxfId="3981" priority="30" operator="equal">
      <formula>"CLE"</formula>
    </cfRule>
    <cfRule type="cellIs" dxfId="3980" priority="31" operator="equal">
      <formula>"CIN"</formula>
    </cfRule>
    <cfRule type="cellIs" dxfId="3979" priority="32" operator="equal">
      <formula>"MIA"</formula>
    </cfRule>
  </conditionalFormatting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S28"/>
  <sheetViews>
    <sheetView zoomScale="90" zoomScaleNormal="90" workbookViewId="0"/>
  </sheetViews>
  <sheetFormatPr defaultRowHeight="14.5" x14ac:dyDescent="0.35"/>
  <cols>
    <col min="2" max="2" width="10.90625" bestFit="1" customWidth="1"/>
    <col min="3" max="3" width="9" bestFit="1" customWidth="1"/>
    <col min="4" max="4" width="9.08984375" bestFit="1" customWidth="1"/>
    <col min="5" max="5" width="9.54296875" bestFit="1" customWidth="1"/>
    <col min="7" max="7" width="8.6328125" bestFit="1" customWidth="1"/>
    <col min="8" max="8" width="9" bestFit="1" customWidth="1"/>
    <col min="9" max="9" width="10.08984375" bestFit="1" customWidth="1"/>
    <col min="10" max="10" width="9.81640625" bestFit="1" customWidth="1"/>
    <col min="11" max="11" width="9.54296875" bestFit="1" customWidth="1"/>
    <col min="12" max="12" width="8.26953125" bestFit="1" customWidth="1"/>
    <col min="13" max="13" width="7.7265625" bestFit="1" customWidth="1"/>
    <col min="14" max="14" width="8.1796875" bestFit="1" customWidth="1"/>
    <col min="15" max="15" width="7.7265625" bestFit="1" customWidth="1"/>
    <col min="16" max="16" width="7.90625" bestFit="1" customWidth="1"/>
    <col min="17" max="17" width="9.7265625" bestFit="1" customWidth="1"/>
    <col min="18" max="18" width="9.08984375" bestFit="1" customWidth="1"/>
  </cols>
  <sheetData>
    <row r="3" spans="2:19" ht="15" thickBot="1" x14ac:dyDescent="0.4">
      <c r="D3" s="42" t="s">
        <v>147</v>
      </c>
    </row>
    <row r="4" spans="2:19" ht="15.5" thickTop="1" thickBot="1" x14ac:dyDescent="0.4">
      <c r="B4" s="11" t="s">
        <v>0</v>
      </c>
      <c r="C4" s="42" t="s">
        <v>146</v>
      </c>
      <c r="D4" s="42" t="s">
        <v>162</v>
      </c>
      <c r="E4" s="42" t="s">
        <v>148</v>
      </c>
      <c r="F4" s="42" t="s">
        <v>149</v>
      </c>
      <c r="G4" s="42" t="s">
        <v>150</v>
      </c>
      <c r="H4" s="42" t="s">
        <v>151</v>
      </c>
      <c r="I4" s="42" t="s">
        <v>152</v>
      </c>
      <c r="J4" s="42" t="s">
        <v>153</v>
      </c>
      <c r="K4" s="42" t="s">
        <v>154</v>
      </c>
      <c r="L4" s="42" t="s">
        <v>155</v>
      </c>
      <c r="M4" s="42" t="s">
        <v>156</v>
      </c>
      <c r="N4" s="42" t="s">
        <v>157</v>
      </c>
      <c r="O4" s="42" t="s">
        <v>158</v>
      </c>
      <c r="P4" s="42" t="s">
        <v>159</v>
      </c>
      <c r="Q4" s="42" t="s">
        <v>160</v>
      </c>
      <c r="R4" s="42" t="s">
        <v>161</v>
      </c>
      <c r="S4" s="406" t="s">
        <v>92</v>
      </c>
    </row>
    <row r="5" spans="2:19" ht="15.5" thickTop="1" thickBot="1" x14ac:dyDescent="0.4">
      <c r="B5" s="26" t="s">
        <v>1</v>
      </c>
      <c r="C5" s="8" t="s">
        <v>142</v>
      </c>
      <c r="D5" s="8" t="s">
        <v>111</v>
      </c>
      <c r="E5" s="8" t="s">
        <v>143</v>
      </c>
      <c r="F5" s="8" t="s">
        <v>141</v>
      </c>
      <c r="G5" s="8" t="s">
        <v>163</v>
      </c>
      <c r="H5" s="8" t="s">
        <v>115</v>
      </c>
      <c r="I5" s="8" t="s">
        <v>28</v>
      </c>
      <c r="J5" s="8" t="s">
        <v>21</v>
      </c>
      <c r="K5" s="8" t="s">
        <v>23</v>
      </c>
      <c r="L5" s="8" t="s">
        <v>28</v>
      </c>
      <c r="M5" s="8" t="s">
        <v>28</v>
      </c>
      <c r="N5" s="8" t="s">
        <v>114</v>
      </c>
      <c r="O5" s="8" t="s">
        <v>164</v>
      </c>
      <c r="P5" s="8" t="s">
        <v>165</v>
      </c>
      <c r="Q5" s="8" t="s">
        <v>114</v>
      </c>
      <c r="R5" s="27"/>
      <c r="S5" s="407"/>
    </row>
    <row r="6" spans="2:19" ht="15" thickTop="1" x14ac:dyDescent="0.35">
      <c r="B6" s="22" t="s">
        <v>3</v>
      </c>
      <c r="C6" s="128" t="s">
        <v>62</v>
      </c>
      <c r="D6" s="128" t="s">
        <v>69</v>
      </c>
      <c r="E6" s="128" t="s">
        <v>71</v>
      </c>
      <c r="F6" s="128" t="s">
        <v>89</v>
      </c>
      <c r="G6" s="128" t="s">
        <v>67</v>
      </c>
      <c r="H6" s="128" t="s">
        <v>33</v>
      </c>
      <c r="I6" s="128" t="s">
        <v>117</v>
      </c>
      <c r="J6" s="128" t="s">
        <v>66</v>
      </c>
      <c r="K6" s="128" t="s">
        <v>91</v>
      </c>
      <c r="L6" s="128" t="s">
        <v>34</v>
      </c>
      <c r="M6" s="128" t="s">
        <v>90</v>
      </c>
      <c r="N6" s="128" t="s">
        <v>119</v>
      </c>
      <c r="O6" s="128" t="s">
        <v>118</v>
      </c>
      <c r="P6" s="128" t="s">
        <v>76</v>
      </c>
      <c r="Q6" s="128" t="s">
        <v>68</v>
      </c>
      <c r="R6" s="128" t="s">
        <v>75</v>
      </c>
      <c r="S6" s="196">
        <f>SUM(C20:R20)</f>
        <v>7</v>
      </c>
    </row>
    <row r="7" spans="2:19" x14ac:dyDescent="0.35">
      <c r="B7" s="22" t="s">
        <v>29</v>
      </c>
      <c r="C7" s="128" t="s">
        <v>62</v>
      </c>
      <c r="D7" s="128" t="s">
        <v>69</v>
      </c>
      <c r="E7" s="128" t="s">
        <v>71</v>
      </c>
      <c r="F7" s="128" t="s">
        <v>89</v>
      </c>
      <c r="G7" s="128" t="s">
        <v>67</v>
      </c>
      <c r="H7" s="128" t="s">
        <v>58</v>
      </c>
      <c r="I7" s="128" t="s">
        <v>117</v>
      </c>
      <c r="J7" s="128" t="s">
        <v>66</v>
      </c>
      <c r="K7" s="128" t="s">
        <v>91</v>
      </c>
      <c r="L7" s="128" t="s">
        <v>34</v>
      </c>
      <c r="M7" s="128" t="s">
        <v>90</v>
      </c>
      <c r="N7" s="128" t="s">
        <v>119</v>
      </c>
      <c r="O7" s="128" t="s">
        <v>118</v>
      </c>
      <c r="P7" s="128" t="s">
        <v>60</v>
      </c>
      <c r="Q7" s="128" t="s">
        <v>87</v>
      </c>
      <c r="R7" s="128" t="s">
        <v>64</v>
      </c>
      <c r="S7" s="197">
        <f t="shared" ref="S7:S14" si="0">SUM(C21:R21)</f>
        <v>8</v>
      </c>
    </row>
    <row r="8" spans="2:19" x14ac:dyDescent="0.35">
      <c r="B8" s="22" t="s">
        <v>30</v>
      </c>
      <c r="C8" s="128" t="s">
        <v>62</v>
      </c>
      <c r="D8" s="128" t="s">
        <v>122</v>
      </c>
      <c r="E8" s="128" t="s">
        <v>71</v>
      </c>
      <c r="F8" s="128" t="s">
        <v>89</v>
      </c>
      <c r="G8" s="128" t="s">
        <v>79</v>
      </c>
      <c r="H8" s="128" t="s">
        <v>33</v>
      </c>
      <c r="I8" s="128" t="s">
        <v>117</v>
      </c>
      <c r="J8" s="128" t="s">
        <v>66</v>
      </c>
      <c r="K8" s="128" t="s">
        <v>91</v>
      </c>
      <c r="L8" s="128" t="s">
        <v>34</v>
      </c>
      <c r="M8" s="128" t="s">
        <v>90</v>
      </c>
      <c r="N8" s="128" t="s">
        <v>61</v>
      </c>
      <c r="O8" s="128" t="s">
        <v>118</v>
      </c>
      <c r="P8" s="128" t="s">
        <v>76</v>
      </c>
      <c r="Q8" s="128" t="s">
        <v>87</v>
      </c>
      <c r="R8" s="128" t="s">
        <v>166</v>
      </c>
      <c r="S8" s="196">
        <f t="shared" si="0"/>
        <v>9</v>
      </c>
    </row>
    <row r="9" spans="2:19" x14ac:dyDescent="0.35">
      <c r="B9" s="22" t="s">
        <v>31</v>
      </c>
      <c r="C9" s="116" t="s">
        <v>62</v>
      </c>
      <c r="D9" s="116" t="s">
        <v>122</v>
      </c>
      <c r="E9" s="116" t="s">
        <v>71</v>
      </c>
      <c r="F9" s="116" t="s">
        <v>89</v>
      </c>
      <c r="G9" s="116" t="s">
        <v>67</v>
      </c>
      <c r="H9" s="116" t="s">
        <v>58</v>
      </c>
      <c r="I9" s="116" t="s">
        <v>88</v>
      </c>
      <c r="J9" s="116" t="s">
        <v>66</v>
      </c>
      <c r="K9" s="116" t="s">
        <v>91</v>
      </c>
      <c r="L9" s="116" t="s">
        <v>34</v>
      </c>
      <c r="M9" s="116" t="s">
        <v>90</v>
      </c>
      <c r="N9" s="116" t="s">
        <v>119</v>
      </c>
      <c r="O9" s="116" t="s">
        <v>118</v>
      </c>
      <c r="P9" s="116" t="s">
        <v>60</v>
      </c>
      <c r="Q9" s="116" t="s">
        <v>87</v>
      </c>
      <c r="R9" s="116" t="s">
        <v>166</v>
      </c>
      <c r="S9" s="197">
        <f t="shared" si="0"/>
        <v>10</v>
      </c>
    </row>
    <row r="10" spans="2:19" x14ac:dyDescent="0.35">
      <c r="B10" s="22" t="s">
        <v>32</v>
      </c>
      <c r="C10" s="128" t="s">
        <v>62</v>
      </c>
      <c r="D10" s="128" t="s">
        <v>69</v>
      </c>
      <c r="E10" s="128" t="s">
        <v>71</v>
      </c>
      <c r="F10" s="128" t="s">
        <v>89</v>
      </c>
      <c r="G10" s="128" t="s">
        <v>67</v>
      </c>
      <c r="H10" s="128" t="s">
        <v>33</v>
      </c>
      <c r="I10" s="128" t="s">
        <v>117</v>
      </c>
      <c r="J10" s="128" t="s">
        <v>66</v>
      </c>
      <c r="K10" s="128" t="s">
        <v>74</v>
      </c>
      <c r="L10" s="128" t="s">
        <v>34</v>
      </c>
      <c r="M10" s="128" t="s">
        <v>90</v>
      </c>
      <c r="N10" s="128" t="s">
        <v>119</v>
      </c>
      <c r="O10" s="128" t="s">
        <v>118</v>
      </c>
      <c r="P10" s="128" t="s">
        <v>76</v>
      </c>
      <c r="Q10" s="128" t="s">
        <v>87</v>
      </c>
      <c r="R10" s="128" t="s">
        <v>166</v>
      </c>
      <c r="S10" s="196">
        <f t="shared" si="0"/>
        <v>9</v>
      </c>
    </row>
    <row r="11" spans="2:19" x14ac:dyDescent="0.35">
      <c r="B11" s="22" t="s">
        <v>35</v>
      </c>
      <c r="C11" s="128" t="s">
        <v>62</v>
      </c>
      <c r="D11" s="128" t="s">
        <v>69</v>
      </c>
      <c r="E11" s="128" t="s">
        <v>71</v>
      </c>
      <c r="F11" s="128" t="s">
        <v>65</v>
      </c>
      <c r="G11" s="128" t="s">
        <v>67</v>
      </c>
      <c r="H11" s="128" t="s">
        <v>33</v>
      </c>
      <c r="I11" s="128" t="s">
        <v>117</v>
      </c>
      <c r="J11" s="128" t="s">
        <v>66</v>
      </c>
      <c r="K11" s="128" t="s">
        <v>74</v>
      </c>
      <c r="L11" s="128" t="s">
        <v>34</v>
      </c>
      <c r="M11" s="128" t="s">
        <v>90</v>
      </c>
      <c r="N11" s="128" t="s">
        <v>119</v>
      </c>
      <c r="O11" s="128" t="s">
        <v>118</v>
      </c>
      <c r="P11" s="128" t="s">
        <v>60</v>
      </c>
      <c r="Q11" s="128" t="s">
        <v>68</v>
      </c>
      <c r="R11" s="128" t="s">
        <v>166</v>
      </c>
      <c r="S11" s="197">
        <f t="shared" si="0"/>
        <v>8</v>
      </c>
    </row>
    <row r="12" spans="2:19" x14ac:dyDescent="0.35">
      <c r="B12" s="29" t="s">
        <v>36</v>
      </c>
      <c r="C12" s="128" t="s">
        <v>62</v>
      </c>
      <c r="D12" s="128" t="s">
        <v>69</v>
      </c>
      <c r="E12" s="128" t="s">
        <v>71</v>
      </c>
      <c r="F12" s="128" t="s">
        <v>89</v>
      </c>
      <c r="G12" s="128" t="s">
        <v>79</v>
      </c>
      <c r="H12" s="128" t="s">
        <v>33</v>
      </c>
      <c r="I12" s="128" t="s">
        <v>117</v>
      </c>
      <c r="J12" s="128" t="s">
        <v>66</v>
      </c>
      <c r="K12" s="128" t="s">
        <v>91</v>
      </c>
      <c r="L12" s="128" t="s">
        <v>34</v>
      </c>
      <c r="M12" s="128" t="s">
        <v>90</v>
      </c>
      <c r="N12" s="128" t="s">
        <v>119</v>
      </c>
      <c r="O12" s="128" t="s">
        <v>118</v>
      </c>
      <c r="P12" s="128" t="s">
        <v>76</v>
      </c>
      <c r="Q12" s="128" t="s">
        <v>87</v>
      </c>
      <c r="R12" s="128" t="s">
        <v>166</v>
      </c>
      <c r="S12" s="196">
        <f t="shared" si="0"/>
        <v>7</v>
      </c>
    </row>
    <row r="13" spans="2:19" x14ac:dyDescent="0.35">
      <c r="B13" s="29" t="s">
        <v>37</v>
      </c>
      <c r="C13" s="128" t="s">
        <v>62</v>
      </c>
      <c r="D13" s="128" t="s">
        <v>69</v>
      </c>
      <c r="E13" s="128" t="s">
        <v>71</v>
      </c>
      <c r="F13" s="128" t="s">
        <v>89</v>
      </c>
      <c r="G13" s="128" t="s">
        <v>67</v>
      </c>
      <c r="H13" s="128" t="s">
        <v>33</v>
      </c>
      <c r="I13" s="128" t="s">
        <v>117</v>
      </c>
      <c r="J13" s="128" t="s">
        <v>66</v>
      </c>
      <c r="K13" s="128" t="s">
        <v>91</v>
      </c>
      <c r="L13" s="128" t="s">
        <v>34</v>
      </c>
      <c r="M13" s="128" t="s">
        <v>90</v>
      </c>
      <c r="N13" s="128" t="s">
        <v>119</v>
      </c>
      <c r="O13" s="128" t="s">
        <v>118</v>
      </c>
      <c r="P13" s="128" t="s">
        <v>60</v>
      </c>
      <c r="Q13" s="128" t="s">
        <v>87</v>
      </c>
      <c r="R13" s="128" t="s">
        <v>166</v>
      </c>
      <c r="S13" s="197">
        <f t="shared" si="0"/>
        <v>7</v>
      </c>
    </row>
    <row r="14" spans="2:19" ht="15" thickBot="1" x14ac:dyDescent="0.4">
      <c r="B14" s="29" t="s">
        <v>57</v>
      </c>
      <c r="C14" s="128" t="s">
        <v>121</v>
      </c>
      <c r="D14" s="128" t="s">
        <v>69</v>
      </c>
      <c r="E14" s="128" t="s">
        <v>71</v>
      </c>
      <c r="F14" s="128" t="s">
        <v>89</v>
      </c>
      <c r="G14" s="128" t="s">
        <v>67</v>
      </c>
      <c r="H14" s="128" t="s">
        <v>33</v>
      </c>
      <c r="I14" s="128" t="s">
        <v>88</v>
      </c>
      <c r="J14" s="128" t="s">
        <v>66</v>
      </c>
      <c r="K14" s="128" t="s">
        <v>91</v>
      </c>
      <c r="L14" s="128" t="s">
        <v>73</v>
      </c>
      <c r="M14" s="128" t="s">
        <v>72</v>
      </c>
      <c r="N14" s="128" t="s">
        <v>61</v>
      </c>
      <c r="O14" s="128" t="s">
        <v>118</v>
      </c>
      <c r="P14" s="128" t="s">
        <v>60</v>
      </c>
      <c r="Q14" s="128" t="s">
        <v>87</v>
      </c>
      <c r="R14" s="128" t="s">
        <v>166</v>
      </c>
      <c r="S14" s="227">
        <f t="shared" si="0"/>
        <v>6</v>
      </c>
    </row>
    <row r="15" spans="2:19" ht="15" thickTop="1" x14ac:dyDescent="0.35"/>
    <row r="18" spans="2:18" ht="15" thickBot="1" x14ac:dyDescent="0.4">
      <c r="B18" s="11" t="s">
        <v>0</v>
      </c>
      <c r="C18" s="42" t="s">
        <v>146</v>
      </c>
      <c r="D18" s="42" t="s">
        <v>162</v>
      </c>
      <c r="E18" s="42" t="s">
        <v>148</v>
      </c>
      <c r="F18" s="42" t="s">
        <v>149</v>
      </c>
      <c r="G18" s="42" t="s">
        <v>150</v>
      </c>
      <c r="H18" s="42" t="s">
        <v>151</v>
      </c>
      <c r="I18" s="42" t="s">
        <v>152</v>
      </c>
      <c r="J18" s="42" t="s">
        <v>153</v>
      </c>
      <c r="K18" s="42" t="s">
        <v>154</v>
      </c>
      <c r="L18" s="42" t="s">
        <v>155</v>
      </c>
      <c r="M18" s="42" t="s">
        <v>156</v>
      </c>
      <c r="N18" s="42" t="s">
        <v>157</v>
      </c>
      <c r="O18" s="42" t="s">
        <v>158</v>
      </c>
      <c r="P18" s="42" t="s">
        <v>159</v>
      </c>
      <c r="Q18" s="42" t="s">
        <v>160</v>
      </c>
      <c r="R18" s="42" t="s">
        <v>161</v>
      </c>
    </row>
    <row r="19" spans="2:18" ht="15.5" thickTop="1" thickBot="1" x14ac:dyDescent="0.4">
      <c r="B19" s="26" t="s">
        <v>1</v>
      </c>
      <c r="C19" s="8" t="s">
        <v>142</v>
      </c>
      <c r="D19" s="8" t="s">
        <v>111</v>
      </c>
      <c r="E19" s="8" t="s">
        <v>143</v>
      </c>
      <c r="F19" s="8" t="s">
        <v>141</v>
      </c>
      <c r="G19" s="8" t="s">
        <v>163</v>
      </c>
      <c r="H19" s="8" t="s">
        <v>115</v>
      </c>
      <c r="I19" s="8" t="s">
        <v>28</v>
      </c>
      <c r="J19" s="8" t="s">
        <v>21</v>
      </c>
      <c r="K19" s="8" t="s">
        <v>23</v>
      </c>
      <c r="L19" s="8" t="s">
        <v>28</v>
      </c>
      <c r="M19" s="8" t="s">
        <v>28</v>
      </c>
      <c r="N19" s="8" t="s">
        <v>114</v>
      </c>
      <c r="O19" s="8" t="s">
        <v>164</v>
      </c>
      <c r="P19" s="8" t="s">
        <v>165</v>
      </c>
      <c r="Q19" s="8" t="s">
        <v>114</v>
      </c>
      <c r="R19" s="27"/>
    </row>
    <row r="20" spans="2:18" ht="15" thickTop="1" x14ac:dyDescent="0.35">
      <c r="B20" s="22" t="s">
        <v>3</v>
      </c>
      <c r="C20" s="42">
        <f>IF(C6="CIN",1,"-")</f>
        <v>1</v>
      </c>
      <c r="D20" s="43" t="str">
        <f>IF(D6="JAX",1,"-")</f>
        <v>-</v>
      </c>
      <c r="E20" s="43">
        <f>IF(E6="WAS",1,"-")</f>
        <v>1</v>
      </c>
      <c r="F20" s="43" t="str">
        <f>IF(F6="BUF",1,"-")</f>
        <v>-</v>
      </c>
      <c r="G20" s="43">
        <f>IF(G6="SEA",1,"-")</f>
        <v>1</v>
      </c>
      <c r="H20" s="43" t="str">
        <f>IF(H6="ATL",1,"-")</f>
        <v>-</v>
      </c>
      <c r="I20" s="43" t="str">
        <f>IF(I6="CHI",1,"-")</f>
        <v>-</v>
      </c>
      <c r="J20" s="43">
        <f>IF(J6="HOU",1,"-")</f>
        <v>1</v>
      </c>
      <c r="K20" s="43" t="str">
        <f>IF(K6="OAK",1,"-")</f>
        <v>-</v>
      </c>
      <c r="L20" s="43">
        <f>IF(L6="DEN",1,"-")</f>
        <v>1</v>
      </c>
      <c r="M20" s="43">
        <f>IF(M6="DAL",1,"-")</f>
        <v>1</v>
      </c>
      <c r="N20" s="43" t="str">
        <f>IF(N6="NO",1,"-")</f>
        <v>-</v>
      </c>
      <c r="O20" s="43" t="str">
        <f>IF(O6="LA",1,"-")</f>
        <v>-</v>
      </c>
      <c r="P20" s="43">
        <f>IF(P6="PIT",1,"-")</f>
        <v>1</v>
      </c>
      <c r="Q20" s="43" t="str">
        <f>IF(Q6="MIN",1,"-")</f>
        <v>-</v>
      </c>
      <c r="R20" s="46" t="s">
        <v>75</v>
      </c>
    </row>
    <row r="21" spans="2:18" x14ac:dyDescent="0.35">
      <c r="B21" s="22" t="s">
        <v>29</v>
      </c>
      <c r="C21" s="48">
        <f t="shared" ref="C21:C28" si="1">IF(C7="CIN",1,"-")</f>
        <v>1</v>
      </c>
      <c r="D21" s="48" t="str">
        <f t="shared" ref="D21:D28" si="2">IF(D7="JAX",1,"-")</f>
        <v>-</v>
      </c>
      <c r="E21" s="48">
        <f t="shared" ref="E21:E28" si="3">IF(E7="WAS",1,"-")</f>
        <v>1</v>
      </c>
      <c r="F21" s="48" t="str">
        <f t="shared" ref="F21:F28" si="4">IF(F7="BUF",1,"-")</f>
        <v>-</v>
      </c>
      <c r="G21" s="48">
        <f t="shared" ref="G21:G28" si="5">IF(G7="SEA",1,"-")</f>
        <v>1</v>
      </c>
      <c r="H21" s="48">
        <f t="shared" ref="H21:H28" si="6">IF(H7="ATL",1,"-")</f>
        <v>1</v>
      </c>
      <c r="I21" s="48" t="str">
        <f t="shared" ref="I21:I28" si="7">IF(I7="CHI",1,"-")</f>
        <v>-</v>
      </c>
      <c r="J21" s="48">
        <f t="shared" ref="J21:J28" si="8">IF(J7="HOU",1,"-")</f>
        <v>1</v>
      </c>
      <c r="K21" s="48" t="str">
        <f t="shared" ref="K21:K28" si="9">IF(K7="OAK",1,"-")</f>
        <v>-</v>
      </c>
      <c r="L21" s="48">
        <f t="shared" ref="L21:L28" si="10">IF(L7="DEN",1,"-")</f>
        <v>1</v>
      </c>
      <c r="M21" s="48">
        <f t="shared" ref="M21:M28" si="11">IF(M7="DAL",1,"-")</f>
        <v>1</v>
      </c>
      <c r="N21" s="48" t="str">
        <f t="shared" ref="N21:N28" si="12">IF(N7="NO",1,"-")</f>
        <v>-</v>
      </c>
      <c r="O21" s="48" t="str">
        <f t="shared" ref="O21:O28" si="13">IF(O7="LA",1,"-")</f>
        <v>-</v>
      </c>
      <c r="P21" s="48" t="str">
        <f t="shared" ref="P21:P28" si="14">IF(P7="PIT",1,"-")</f>
        <v>-</v>
      </c>
      <c r="Q21" s="48">
        <f t="shared" ref="Q21:Q28" si="15">IF(Q7="MIN",1,"-")</f>
        <v>1</v>
      </c>
      <c r="R21" s="46" t="s">
        <v>64</v>
      </c>
    </row>
    <row r="22" spans="2:18" x14ac:dyDescent="0.35">
      <c r="B22" s="22" t="s">
        <v>30</v>
      </c>
      <c r="C22" s="48">
        <f t="shared" si="1"/>
        <v>1</v>
      </c>
      <c r="D22" s="48">
        <f t="shared" si="2"/>
        <v>1</v>
      </c>
      <c r="E22" s="48">
        <f t="shared" si="3"/>
        <v>1</v>
      </c>
      <c r="F22" s="48" t="str">
        <f t="shared" si="4"/>
        <v>-</v>
      </c>
      <c r="G22" s="48" t="str">
        <f t="shared" si="5"/>
        <v>-</v>
      </c>
      <c r="H22" s="48" t="str">
        <f t="shared" si="6"/>
        <v>-</v>
      </c>
      <c r="I22" s="48" t="str">
        <f t="shared" si="7"/>
        <v>-</v>
      </c>
      <c r="J22" s="48">
        <f t="shared" si="8"/>
        <v>1</v>
      </c>
      <c r="K22" s="48" t="str">
        <f t="shared" si="9"/>
        <v>-</v>
      </c>
      <c r="L22" s="48">
        <f t="shared" si="10"/>
        <v>1</v>
      </c>
      <c r="M22" s="48">
        <f t="shared" si="11"/>
        <v>1</v>
      </c>
      <c r="N22" s="48">
        <f t="shared" si="12"/>
        <v>1</v>
      </c>
      <c r="O22" s="48" t="str">
        <f t="shared" si="13"/>
        <v>-</v>
      </c>
      <c r="P22" s="48">
        <f t="shared" si="14"/>
        <v>1</v>
      </c>
      <c r="Q22" s="48">
        <f t="shared" si="15"/>
        <v>1</v>
      </c>
      <c r="R22" s="42" t="s">
        <v>166</v>
      </c>
    </row>
    <row r="23" spans="2:18" x14ac:dyDescent="0.35">
      <c r="B23" s="22" t="s">
        <v>31</v>
      </c>
      <c r="C23" s="48">
        <f t="shared" si="1"/>
        <v>1</v>
      </c>
      <c r="D23" s="48">
        <f t="shared" si="2"/>
        <v>1</v>
      </c>
      <c r="E23" s="48">
        <f t="shared" si="3"/>
        <v>1</v>
      </c>
      <c r="F23" s="48" t="str">
        <f t="shared" si="4"/>
        <v>-</v>
      </c>
      <c r="G23" s="48">
        <f t="shared" si="5"/>
        <v>1</v>
      </c>
      <c r="H23" s="48">
        <f t="shared" si="6"/>
        <v>1</v>
      </c>
      <c r="I23" s="48">
        <f t="shared" si="7"/>
        <v>1</v>
      </c>
      <c r="J23" s="48">
        <f t="shared" si="8"/>
        <v>1</v>
      </c>
      <c r="K23" s="48" t="str">
        <f t="shared" si="9"/>
        <v>-</v>
      </c>
      <c r="L23" s="48">
        <f t="shared" si="10"/>
        <v>1</v>
      </c>
      <c r="M23" s="48">
        <f t="shared" si="11"/>
        <v>1</v>
      </c>
      <c r="N23" s="48" t="str">
        <f t="shared" si="12"/>
        <v>-</v>
      </c>
      <c r="O23" s="48" t="str">
        <f t="shared" si="13"/>
        <v>-</v>
      </c>
      <c r="P23" s="48" t="str">
        <f t="shared" si="14"/>
        <v>-</v>
      </c>
      <c r="Q23" s="48">
        <f t="shared" si="15"/>
        <v>1</v>
      </c>
      <c r="R23" s="42" t="s">
        <v>166</v>
      </c>
    </row>
    <row r="24" spans="2:18" x14ac:dyDescent="0.35">
      <c r="B24" s="22" t="s">
        <v>32</v>
      </c>
      <c r="C24" s="48">
        <f t="shared" si="1"/>
        <v>1</v>
      </c>
      <c r="D24" s="48" t="str">
        <f t="shared" si="2"/>
        <v>-</v>
      </c>
      <c r="E24" s="48">
        <f t="shared" si="3"/>
        <v>1</v>
      </c>
      <c r="F24" s="48" t="str">
        <f t="shared" si="4"/>
        <v>-</v>
      </c>
      <c r="G24" s="48">
        <f t="shared" si="5"/>
        <v>1</v>
      </c>
      <c r="H24" s="48" t="str">
        <f t="shared" si="6"/>
        <v>-</v>
      </c>
      <c r="I24" s="48" t="str">
        <f t="shared" si="7"/>
        <v>-</v>
      </c>
      <c r="J24" s="48">
        <f t="shared" si="8"/>
        <v>1</v>
      </c>
      <c r="K24" s="48">
        <f t="shared" si="9"/>
        <v>1</v>
      </c>
      <c r="L24" s="48">
        <f t="shared" si="10"/>
        <v>1</v>
      </c>
      <c r="M24" s="48">
        <f t="shared" si="11"/>
        <v>1</v>
      </c>
      <c r="N24" s="48" t="str">
        <f t="shared" si="12"/>
        <v>-</v>
      </c>
      <c r="O24" s="48" t="str">
        <f t="shared" si="13"/>
        <v>-</v>
      </c>
      <c r="P24" s="48">
        <f t="shared" si="14"/>
        <v>1</v>
      </c>
      <c r="Q24" s="48">
        <f t="shared" si="15"/>
        <v>1</v>
      </c>
      <c r="R24" s="42" t="s">
        <v>166</v>
      </c>
    </row>
    <row r="25" spans="2:18" x14ac:dyDescent="0.35">
      <c r="B25" s="22" t="s">
        <v>35</v>
      </c>
      <c r="C25" s="48">
        <f t="shared" si="1"/>
        <v>1</v>
      </c>
      <c r="D25" s="48" t="str">
        <f t="shared" si="2"/>
        <v>-</v>
      </c>
      <c r="E25" s="48">
        <f t="shared" si="3"/>
        <v>1</v>
      </c>
      <c r="F25" s="48">
        <f t="shared" si="4"/>
        <v>1</v>
      </c>
      <c r="G25" s="48">
        <f t="shared" si="5"/>
        <v>1</v>
      </c>
      <c r="H25" s="48" t="str">
        <f t="shared" si="6"/>
        <v>-</v>
      </c>
      <c r="I25" s="48" t="str">
        <f t="shared" si="7"/>
        <v>-</v>
      </c>
      <c r="J25" s="48">
        <f t="shared" si="8"/>
        <v>1</v>
      </c>
      <c r="K25" s="48">
        <f t="shared" si="9"/>
        <v>1</v>
      </c>
      <c r="L25" s="48">
        <f t="shared" si="10"/>
        <v>1</v>
      </c>
      <c r="M25" s="48">
        <f t="shared" si="11"/>
        <v>1</v>
      </c>
      <c r="N25" s="48" t="str">
        <f t="shared" si="12"/>
        <v>-</v>
      </c>
      <c r="O25" s="48" t="str">
        <f t="shared" si="13"/>
        <v>-</v>
      </c>
      <c r="P25" s="48" t="str">
        <f t="shared" si="14"/>
        <v>-</v>
      </c>
      <c r="Q25" s="48" t="str">
        <f t="shared" si="15"/>
        <v>-</v>
      </c>
      <c r="R25" s="42" t="s">
        <v>166</v>
      </c>
    </row>
    <row r="26" spans="2:18" x14ac:dyDescent="0.35">
      <c r="B26" s="29" t="s">
        <v>36</v>
      </c>
      <c r="C26" s="48">
        <f t="shared" si="1"/>
        <v>1</v>
      </c>
      <c r="D26" s="48" t="str">
        <f t="shared" si="2"/>
        <v>-</v>
      </c>
      <c r="E26" s="48">
        <f t="shared" si="3"/>
        <v>1</v>
      </c>
      <c r="F26" s="48" t="str">
        <f t="shared" si="4"/>
        <v>-</v>
      </c>
      <c r="G26" s="48" t="str">
        <f t="shared" si="5"/>
        <v>-</v>
      </c>
      <c r="H26" s="48" t="str">
        <f t="shared" si="6"/>
        <v>-</v>
      </c>
      <c r="I26" s="48" t="str">
        <f t="shared" si="7"/>
        <v>-</v>
      </c>
      <c r="J26" s="48">
        <f t="shared" si="8"/>
        <v>1</v>
      </c>
      <c r="K26" s="48" t="str">
        <f t="shared" si="9"/>
        <v>-</v>
      </c>
      <c r="L26" s="48">
        <f t="shared" si="10"/>
        <v>1</v>
      </c>
      <c r="M26" s="48">
        <f t="shared" si="11"/>
        <v>1</v>
      </c>
      <c r="N26" s="48" t="str">
        <f t="shared" si="12"/>
        <v>-</v>
      </c>
      <c r="O26" s="48" t="str">
        <f t="shared" si="13"/>
        <v>-</v>
      </c>
      <c r="P26" s="48">
        <f t="shared" si="14"/>
        <v>1</v>
      </c>
      <c r="Q26" s="48">
        <f t="shared" si="15"/>
        <v>1</v>
      </c>
      <c r="R26" s="42" t="s">
        <v>166</v>
      </c>
    </row>
    <row r="27" spans="2:18" x14ac:dyDescent="0.35">
      <c r="B27" s="29" t="s">
        <v>37</v>
      </c>
      <c r="C27" s="48">
        <f t="shared" si="1"/>
        <v>1</v>
      </c>
      <c r="D27" s="48" t="str">
        <f t="shared" si="2"/>
        <v>-</v>
      </c>
      <c r="E27" s="48">
        <f t="shared" si="3"/>
        <v>1</v>
      </c>
      <c r="F27" s="48" t="str">
        <f t="shared" si="4"/>
        <v>-</v>
      </c>
      <c r="G27" s="48">
        <f t="shared" si="5"/>
        <v>1</v>
      </c>
      <c r="H27" s="48" t="str">
        <f t="shared" si="6"/>
        <v>-</v>
      </c>
      <c r="I27" s="48" t="str">
        <f t="shared" si="7"/>
        <v>-</v>
      </c>
      <c r="J27" s="48">
        <f t="shared" si="8"/>
        <v>1</v>
      </c>
      <c r="K27" s="48" t="str">
        <f t="shared" si="9"/>
        <v>-</v>
      </c>
      <c r="L27" s="48">
        <f t="shared" si="10"/>
        <v>1</v>
      </c>
      <c r="M27" s="48">
        <f t="shared" si="11"/>
        <v>1</v>
      </c>
      <c r="N27" s="48" t="str">
        <f t="shared" si="12"/>
        <v>-</v>
      </c>
      <c r="O27" s="48" t="str">
        <f t="shared" si="13"/>
        <v>-</v>
      </c>
      <c r="P27" s="48" t="str">
        <f t="shared" si="14"/>
        <v>-</v>
      </c>
      <c r="Q27" s="48">
        <f t="shared" si="15"/>
        <v>1</v>
      </c>
      <c r="R27" s="42" t="s">
        <v>166</v>
      </c>
    </row>
    <row r="28" spans="2:18" x14ac:dyDescent="0.35">
      <c r="B28" s="29" t="s">
        <v>57</v>
      </c>
      <c r="C28" s="48" t="str">
        <f t="shared" si="1"/>
        <v>-</v>
      </c>
      <c r="D28" s="48" t="str">
        <f t="shared" si="2"/>
        <v>-</v>
      </c>
      <c r="E28" s="48">
        <f t="shared" si="3"/>
        <v>1</v>
      </c>
      <c r="F28" s="48" t="str">
        <f t="shared" si="4"/>
        <v>-</v>
      </c>
      <c r="G28" s="48">
        <f t="shared" si="5"/>
        <v>1</v>
      </c>
      <c r="H28" s="48" t="str">
        <f t="shared" si="6"/>
        <v>-</v>
      </c>
      <c r="I28" s="48">
        <f t="shared" si="7"/>
        <v>1</v>
      </c>
      <c r="J28" s="48">
        <f t="shared" si="8"/>
        <v>1</v>
      </c>
      <c r="K28" s="48" t="str">
        <f t="shared" si="9"/>
        <v>-</v>
      </c>
      <c r="L28" s="48" t="str">
        <f t="shared" si="10"/>
        <v>-</v>
      </c>
      <c r="M28" s="48" t="str">
        <f t="shared" si="11"/>
        <v>-</v>
      </c>
      <c r="N28" s="48">
        <f t="shared" si="12"/>
        <v>1</v>
      </c>
      <c r="O28" s="48" t="str">
        <f t="shared" si="13"/>
        <v>-</v>
      </c>
      <c r="P28" s="48" t="str">
        <f t="shared" si="14"/>
        <v>-</v>
      </c>
      <c r="Q28" s="48">
        <f t="shared" si="15"/>
        <v>1</v>
      </c>
      <c r="R28" s="42" t="s">
        <v>166</v>
      </c>
    </row>
  </sheetData>
  <mergeCells count="1">
    <mergeCell ref="S4:S5"/>
  </mergeCells>
  <conditionalFormatting sqref="C20:R28">
    <cfRule type="colorScale" priority="33">
      <colorScale>
        <cfvo type="min"/>
        <cfvo type="max"/>
        <color rgb="FFFCFCFF"/>
        <color rgb="FF63BE7B"/>
      </colorScale>
    </cfRule>
  </conditionalFormatting>
  <conditionalFormatting sqref="C6:R14">
    <cfRule type="cellIs" dxfId="3952" priority="1" operator="equal">
      <formula>"PHI"</formula>
    </cfRule>
    <cfRule type="cellIs" dxfId="3951" priority="2" operator="equal">
      <formula>"GB"</formula>
    </cfRule>
    <cfRule type="cellIs" dxfId="3950" priority="3" operator="equal">
      <formula>"MIN"</formula>
    </cfRule>
    <cfRule type="cellIs" dxfId="3949" priority="4" operator="equal">
      <formula>"NYG"</formula>
    </cfRule>
    <cfRule type="cellIs" dxfId="3948" priority="5" operator="equal">
      <formula>"PIT"</formula>
    </cfRule>
    <cfRule type="cellIs" dxfId="3947" priority="6" operator="equal">
      <formula>"KC"</formula>
    </cfRule>
    <cfRule type="cellIs" dxfId="3946" priority="7" operator="equal">
      <formula>"ARI"</formula>
    </cfRule>
    <cfRule type="cellIs" dxfId="3945" priority="8" operator="equal">
      <formula>"LA"</formula>
    </cfRule>
    <cfRule type="cellIs" dxfId="3944" priority="9" operator="equal">
      <formula>"SD"</formula>
    </cfRule>
    <cfRule type="cellIs" dxfId="3943" priority="10" operator="equal">
      <formula>"NO"</formula>
    </cfRule>
    <cfRule type="cellIs" dxfId="3942" priority="11" operator="equal">
      <formula>"SF"</formula>
    </cfRule>
    <cfRule type="cellIs" dxfId="3941" priority="12" operator="equal">
      <formula>"DAL"</formula>
    </cfRule>
    <cfRule type="cellIs" dxfId="3940" priority="13" operator="equal">
      <formula>"TB"</formula>
    </cfRule>
    <cfRule type="cellIs" dxfId="3939" priority="14" operator="equal">
      <formula>"DEN"</formula>
    </cfRule>
    <cfRule type="cellIs" dxfId="3938" priority="15" operator="equal">
      <formula>"BAL"</formula>
    </cfRule>
    <cfRule type="cellIs" dxfId="3937" priority="16" operator="equal">
      <formula>"OAK"</formula>
    </cfRule>
    <cfRule type="cellIs" dxfId="3936" priority="17" operator="equal">
      <formula>"HOU"</formula>
    </cfRule>
    <cfRule type="cellIs" dxfId="3935" priority="18" operator="equal">
      <formula>"TEN"</formula>
    </cfRule>
    <cfRule type="cellIs" dxfId="3934" priority="19" operator="equal">
      <formula>"CHI"</formula>
    </cfRule>
    <cfRule type="cellIs" dxfId="3933" priority="20" operator="equal">
      <formula>"DET"</formula>
    </cfRule>
    <cfRule type="cellIs" dxfId="3932" priority="21" operator="equal">
      <formula>"ATL"</formula>
    </cfRule>
    <cfRule type="cellIs" dxfId="3931" priority="22" operator="equal">
      <formula>"CAR"</formula>
    </cfRule>
    <cfRule type="cellIs" dxfId="3930" priority="23" operator="equal">
      <formula>"IND"</formula>
    </cfRule>
    <cfRule type="cellIs" dxfId="3929" priority="24" operator="equal">
      <formula>"JAX"</formula>
    </cfRule>
    <cfRule type="cellIs" dxfId="3928" priority="25" operator="equal">
      <formula>"NYJ"</formula>
    </cfRule>
    <cfRule type="cellIs" dxfId="3927" priority="26" operator="equal">
      <formula>"SEA"</formula>
    </cfRule>
    <cfRule type="cellIs" dxfId="3926" priority="27" operator="equal">
      <formula>"NE"</formula>
    </cfRule>
    <cfRule type="cellIs" dxfId="3925" priority="28" operator="equal">
      <formula>"BUF"</formula>
    </cfRule>
    <cfRule type="cellIs" dxfId="3924" priority="29" operator="equal">
      <formula>"WAS"</formula>
    </cfRule>
    <cfRule type="cellIs" dxfId="3923" priority="30" operator="equal">
      <formula>"CLE"</formula>
    </cfRule>
    <cfRule type="cellIs" dxfId="3922" priority="31" operator="equal">
      <formula>"CIN"</formula>
    </cfRule>
    <cfRule type="cellIs" dxfId="3921" priority="32" operator="equal">
      <formula>"MIA"</formula>
    </cfRule>
  </conditionalFormatting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S28"/>
  <sheetViews>
    <sheetView zoomScaleNormal="100" workbookViewId="0"/>
  </sheetViews>
  <sheetFormatPr defaultRowHeight="14.5" x14ac:dyDescent="0.35"/>
  <cols>
    <col min="2" max="2" width="10.90625" bestFit="1" customWidth="1"/>
    <col min="3" max="3" width="7.26953125" bestFit="1" customWidth="1"/>
    <col min="4" max="4" width="10.08984375" bestFit="1" customWidth="1"/>
    <col min="5" max="5" width="9.36328125" bestFit="1" customWidth="1"/>
    <col min="6" max="6" width="7.81640625" bestFit="1" customWidth="1"/>
    <col min="7" max="7" width="8.1796875" bestFit="1" customWidth="1"/>
    <col min="8" max="8" width="9.6328125" bestFit="1" customWidth="1"/>
    <col min="9" max="9" width="8.81640625" bestFit="1" customWidth="1"/>
    <col min="10" max="10" width="8.6328125" bestFit="1" customWidth="1"/>
    <col min="11" max="11" width="9.1796875" bestFit="1" customWidth="1"/>
    <col min="12" max="12" width="7.90625" bestFit="1" customWidth="1"/>
    <col min="13" max="13" width="8.453125" bestFit="1" customWidth="1"/>
    <col min="14" max="14" width="8.81640625" bestFit="1" customWidth="1"/>
    <col min="15" max="15" width="8.54296875" bestFit="1" customWidth="1"/>
    <col min="16" max="16" width="8.08984375" bestFit="1" customWidth="1"/>
    <col min="17" max="17" width="9.7265625" hidden="1" customWidth="1"/>
    <col min="18" max="18" width="9.08984375" hidden="1" customWidth="1"/>
  </cols>
  <sheetData>
    <row r="3" spans="2:19" ht="15" thickBot="1" x14ac:dyDescent="0.4">
      <c r="B3" s="41"/>
      <c r="C3" s="41"/>
      <c r="D3" s="48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2:19" ht="15.5" thickTop="1" thickBot="1" x14ac:dyDescent="0.4">
      <c r="B4" s="11" t="s">
        <v>0</v>
      </c>
      <c r="C4" s="41" t="s">
        <v>167</v>
      </c>
      <c r="D4" s="41" t="s">
        <v>168</v>
      </c>
      <c r="E4" s="41" t="s">
        <v>169</v>
      </c>
      <c r="F4" s="41" t="s">
        <v>170</v>
      </c>
      <c r="G4" s="41" t="s">
        <v>171</v>
      </c>
      <c r="H4" s="41" t="s">
        <v>172</v>
      </c>
      <c r="I4" s="41" t="s">
        <v>173</v>
      </c>
      <c r="J4" s="41" t="s">
        <v>174</v>
      </c>
      <c r="K4" s="41" t="s">
        <v>175</v>
      </c>
      <c r="L4" s="41" t="s">
        <v>176</v>
      </c>
      <c r="M4" s="41" t="s">
        <v>177</v>
      </c>
      <c r="N4" s="41" t="s">
        <v>178</v>
      </c>
      <c r="O4" s="41" t="s">
        <v>179</v>
      </c>
      <c r="P4" s="41" t="s">
        <v>182</v>
      </c>
      <c r="Q4" s="48" t="s">
        <v>160</v>
      </c>
      <c r="R4" s="48" t="s">
        <v>161</v>
      </c>
      <c r="S4" s="406" t="s">
        <v>92</v>
      </c>
    </row>
    <row r="5" spans="2:19" ht="15.5" thickTop="1" thickBot="1" x14ac:dyDescent="0.4">
      <c r="B5" s="26" t="s">
        <v>1</v>
      </c>
      <c r="C5" s="8" t="s">
        <v>24</v>
      </c>
      <c r="D5" s="8" t="s">
        <v>165</v>
      </c>
      <c r="E5" s="8" t="s">
        <v>23</v>
      </c>
      <c r="F5" s="8" t="s">
        <v>180</v>
      </c>
      <c r="G5" s="8" t="s">
        <v>142</v>
      </c>
      <c r="H5" s="8" t="s">
        <v>114</v>
      </c>
      <c r="I5" s="8" t="s">
        <v>28</v>
      </c>
      <c r="J5" s="8" t="s">
        <v>141</v>
      </c>
      <c r="K5" s="8" t="s">
        <v>165</v>
      </c>
      <c r="L5" s="8" t="s">
        <v>111</v>
      </c>
      <c r="M5" s="8" t="s">
        <v>114</v>
      </c>
      <c r="N5" s="8" t="s">
        <v>181</v>
      </c>
      <c r="O5" s="8" t="s">
        <v>142</v>
      </c>
      <c r="P5" s="8" t="s">
        <v>165</v>
      </c>
      <c r="Q5" s="8" t="s">
        <v>114</v>
      </c>
      <c r="R5" s="27"/>
      <c r="S5" s="407"/>
    </row>
    <row r="6" spans="2:19" ht="15" thickTop="1" x14ac:dyDescent="0.35">
      <c r="B6" s="22" t="s">
        <v>3</v>
      </c>
      <c r="C6" s="48" t="s">
        <v>118</v>
      </c>
      <c r="D6" s="48" t="s">
        <v>87</v>
      </c>
      <c r="E6" s="48" t="s">
        <v>120</v>
      </c>
      <c r="F6" s="48" t="s">
        <v>89</v>
      </c>
      <c r="G6" s="48" t="s">
        <v>76</v>
      </c>
      <c r="H6" s="48" t="s">
        <v>91</v>
      </c>
      <c r="I6" s="48" t="s">
        <v>117</v>
      </c>
      <c r="J6" s="48" t="s">
        <v>69</v>
      </c>
      <c r="K6" s="48" t="s">
        <v>58</v>
      </c>
      <c r="L6" s="48" t="s">
        <v>77</v>
      </c>
      <c r="M6" s="48" t="s">
        <v>74</v>
      </c>
      <c r="N6" s="48" t="s">
        <v>90</v>
      </c>
      <c r="O6" s="48" t="s">
        <v>64</v>
      </c>
      <c r="P6" s="48" t="s">
        <v>33</v>
      </c>
      <c r="Q6" s="48"/>
      <c r="R6" s="46"/>
      <c r="S6" s="196">
        <f>SUM(C20:R20)</f>
        <v>11</v>
      </c>
    </row>
    <row r="7" spans="2:19" x14ac:dyDescent="0.35">
      <c r="B7" s="22" t="s">
        <v>29</v>
      </c>
      <c r="C7" s="65" t="s">
        <v>118</v>
      </c>
      <c r="D7" s="65" t="s">
        <v>87</v>
      </c>
      <c r="E7" s="65" t="s">
        <v>120</v>
      </c>
      <c r="F7" s="65" t="s">
        <v>89</v>
      </c>
      <c r="G7" s="65" t="s">
        <v>76</v>
      </c>
      <c r="H7" s="65" t="s">
        <v>91</v>
      </c>
      <c r="I7" s="65" t="s">
        <v>75</v>
      </c>
      <c r="J7" s="65" t="s">
        <v>69</v>
      </c>
      <c r="K7" s="65" t="s">
        <v>34</v>
      </c>
      <c r="L7" s="65" t="s">
        <v>77</v>
      </c>
      <c r="M7" s="65" t="s">
        <v>74</v>
      </c>
      <c r="N7" s="65" t="s">
        <v>90</v>
      </c>
      <c r="O7" s="65" t="s">
        <v>64</v>
      </c>
      <c r="P7" s="65" t="s">
        <v>33</v>
      </c>
      <c r="Q7" s="44"/>
      <c r="R7" s="45"/>
      <c r="S7" s="197">
        <f t="shared" ref="S7:S14" si="0">SUM(C21:R21)</f>
        <v>9</v>
      </c>
    </row>
    <row r="8" spans="2:19" x14ac:dyDescent="0.35">
      <c r="B8" s="22" t="s">
        <v>30</v>
      </c>
      <c r="C8" s="66" t="s">
        <v>118</v>
      </c>
      <c r="D8" s="66" t="s">
        <v>87</v>
      </c>
      <c r="E8" s="66" t="s">
        <v>121</v>
      </c>
      <c r="F8" s="66" t="s">
        <v>89</v>
      </c>
      <c r="G8" s="66" t="s">
        <v>76</v>
      </c>
      <c r="H8" s="66" t="s">
        <v>91</v>
      </c>
      <c r="I8" s="66" t="s">
        <v>117</v>
      </c>
      <c r="J8" s="66" t="s">
        <v>69</v>
      </c>
      <c r="K8" s="66" t="s">
        <v>34</v>
      </c>
      <c r="L8" s="66" t="s">
        <v>65</v>
      </c>
      <c r="M8" s="66" t="s">
        <v>74</v>
      </c>
      <c r="N8" s="66" t="s">
        <v>90</v>
      </c>
      <c r="O8" s="66" t="s">
        <v>64</v>
      </c>
      <c r="P8" s="66" t="s">
        <v>33</v>
      </c>
      <c r="Q8" s="44"/>
      <c r="R8" s="44"/>
      <c r="S8" s="196">
        <f t="shared" si="0"/>
        <v>10</v>
      </c>
    </row>
    <row r="9" spans="2:19" x14ac:dyDescent="0.35">
      <c r="B9" s="22" t="s">
        <v>31</v>
      </c>
      <c r="C9" s="64" t="s">
        <v>118</v>
      </c>
      <c r="D9" s="64" t="s">
        <v>87</v>
      </c>
      <c r="E9" s="64" t="s">
        <v>120</v>
      </c>
      <c r="F9" s="64" t="s">
        <v>89</v>
      </c>
      <c r="G9" s="64" t="s">
        <v>76</v>
      </c>
      <c r="H9" s="64" t="s">
        <v>71</v>
      </c>
      <c r="I9" s="64" t="s">
        <v>75</v>
      </c>
      <c r="J9" s="64" t="s">
        <v>69</v>
      </c>
      <c r="K9" s="64" t="s">
        <v>34</v>
      </c>
      <c r="L9" s="64" t="s">
        <v>65</v>
      </c>
      <c r="M9" s="64" t="s">
        <v>119</v>
      </c>
      <c r="N9" s="64" t="s">
        <v>62</v>
      </c>
      <c r="O9" s="64" t="s">
        <v>64</v>
      </c>
      <c r="P9" s="64" t="s">
        <v>33</v>
      </c>
      <c r="Q9" s="48"/>
      <c r="R9" s="44"/>
      <c r="S9" s="197">
        <f t="shared" si="0"/>
        <v>9</v>
      </c>
    </row>
    <row r="10" spans="2:19" x14ac:dyDescent="0.35">
      <c r="B10" s="22" t="s">
        <v>32</v>
      </c>
      <c r="C10" s="69" t="s">
        <v>118</v>
      </c>
      <c r="D10" s="69" t="s">
        <v>87</v>
      </c>
      <c r="E10" s="69" t="s">
        <v>121</v>
      </c>
      <c r="F10" s="69" t="s">
        <v>89</v>
      </c>
      <c r="G10" s="69" t="s">
        <v>76</v>
      </c>
      <c r="H10" s="69" t="s">
        <v>91</v>
      </c>
      <c r="I10" s="69" t="s">
        <v>75</v>
      </c>
      <c r="J10" s="69" t="s">
        <v>69</v>
      </c>
      <c r="K10" s="69" t="s">
        <v>34</v>
      </c>
      <c r="L10" s="69" t="s">
        <v>65</v>
      </c>
      <c r="M10" s="69" t="s">
        <v>74</v>
      </c>
      <c r="N10" s="69" t="s">
        <v>90</v>
      </c>
      <c r="O10" s="69" t="s">
        <v>64</v>
      </c>
      <c r="P10" s="69" t="s">
        <v>33</v>
      </c>
      <c r="Q10" s="44"/>
      <c r="R10" s="44"/>
      <c r="S10" s="196">
        <f t="shared" si="0"/>
        <v>9</v>
      </c>
    </row>
    <row r="11" spans="2:19" x14ac:dyDescent="0.35">
      <c r="B11" s="22" t="s">
        <v>35</v>
      </c>
      <c r="C11" s="68" t="s">
        <v>118</v>
      </c>
      <c r="D11" s="68" t="s">
        <v>87</v>
      </c>
      <c r="E11" s="68" t="s">
        <v>120</v>
      </c>
      <c r="F11" s="68" t="s">
        <v>89</v>
      </c>
      <c r="G11" s="68" t="s">
        <v>76</v>
      </c>
      <c r="H11" s="68" t="s">
        <v>91</v>
      </c>
      <c r="I11" s="68" t="s">
        <v>117</v>
      </c>
      <c r="J11" s="68" t="s">
        <v>69</v>
      </c>
      <c r="K11" s="68" t="s">
        <v>58</v>
      </c>
      <c r="L11" s="68" t="s">
        <v>65</v>
      </c>
      <c r="M11" s="68" t="s">
        <v>74</v>
      </c>
      <c r="N11" s="68" t="s">
        <v>62</v>
      </c>
      <c r="O11" s="68" t="s">
        <v>64</v>
      </c>
      <c r="P11" s="68" t="s">
        <v>33</v>
      </c>
      <c r="Q11" s="44"/>
      <c r="R11" s="44"/>
      <c r="S11" s="197">
        <f t="shared" si="0"/>
        <v>11</v>
      </c>
    </row>
    <row r="12" spans="2:19" x14ac:dyDescent="0.35">
      <c r="B12" s="29" t="s">
        <v>36</v>
      </c>
      <c r="C12" s="67" t="s">
        <v>118</v>
      </c>
      <c r="D12" s="67" t="s">
        <v>87</v>
      </c>
      <c r="E12" s="67" t="s">
        <v>121</v>
      </c>
      <c r="F12" s="67" t="s">
        <v>89</v>
      </c>
      <c r="G12" s="67" t="s">
        <v>76</v>
      </c>
      <c r="H12" s="67" t="s">
        <v>91</v>
      </c>
      <c r="I12" s="67" t="s">
        <v>75</v>
      </c>
      <c r="J12" s="67" t="s">
        <v>69</v>
      </c>
      <c r="K12" s="67" t="s">
        <v>34</v>
      </c>
      <c r="L12" s="67" t="s">
        <v>77</v>
      </c>
      <c r="M12" s="67" t="s">
        <v>74</v>
      </c>
      <c r="N12" s="67" t="s">
        <v>62</v>
      </c>
      <c r="O12" s="67" t="s">
        <v>64</v>
      </c>
      <c r="P12" s="67" t="s">
        <v>33</v>
      </c>
      <c r="Q12" s="44"/>
      <c r="R12" s="44"/>
      <c r="S12" s="196">
        <f t="shared" si="0"/>
        <v>7</v>
      </c>
    </row>
    <row r="13" spans="2:19" x14ac:dyDescent="0.35">
      <c r="B13" s="29" t="s">
        <v>37</v>
      </c>
      <c r="C13" s="48" t="s">
        <v>166</v>
      </c>
      <c r="D13" s="48" t="s">
        <v>66</v>
      </c>
      <c r="E13" s="48" t="s">
        <v>121</v>
      </c>
      <c r="F13" s="48" t="s">
        <v>89</v>
      </c>
      <c r="G13" s="48" t="s">
        <v>76</v>
      </c>
      <c r="H13" s="48" t="s">
        <v>91</v>
      </c>
      <c r="I13" s="48" t="s">
        <v>75</v>
      </c>
      <c r="J13" s="48" t="s">
        <v>69</v>
      </c>
      <c r="K13" s="48" t="s">
        <v>34</v>
      </c>
      <c r="L13" s="48" t="s">
        <v>65</v>
      </c>
      <c r="M13" s="48" t="s">
        <v>74</v>
      </c>
      <c r="N13" s="48" t="s">
        <v>90</v>
      </c>
      <c r="O13" s="48" t="s">
        <v>64</v>
      </c>
      <c r="P13" s="48" t="s">
        <v>33</v>
      </c>
      <c r="Q13" s="48"/>
      <c r="R13" s="47"/>
      <c r="S13" s="197">
        <f t="shared" si="0"/>
        <v>7</v>
      </c>
    </row>
    <row r="14" spans="2:19" ht="15" thickBot="1" x14ac:dyDescent="0.4">
      <c r="B14" s="53" t="s">
        <v>57</v>
      </c>
      <c r="C14" s="71" t="s">
        <v>118</v>
      </c>
      <c r="D14" s="71" t="s">
        <v>87</v>
      </c>
      <c r="E14" s="71" t="s">
        <v>121</v>
      </c>
      <c r="F14" s="71" t="s">
        <v>89</v>
      </c>
      <c r="G14" s="71" t="s">
        <v>76</v>
      </c>
      <c r="H14" s="71" t="s">
        <v>91</v>
      </c>
      <c r="I14" s="71" t="s">
        <v>75</v>
      </c>
      <c r="J14" s="71" t="s">
        <v>69</v>
      </c>
      <c r="K14" s="71" t="s">
        <v>34</v>
      </c>
      <c r="L14" s="71" t="s">
        <v>77</v>
      </c>
      <c r="M14" s="71" t="s">
        <v>74</v>
      </c>
      <c r="N14" s="71" t="s">
        <v>90</v>
      </c>
      <c r="O14" s="71" t="s">
        <v>64</v>
      </c>
      <c r="P14" s="71" t="s">
        <v>33</v>
      </c>
      <c r="Q14" s="47"/>
      <c r="R14" s="47"/>
      <c r="S14" s="227">
        <f t="shared" si="0"/>
        <v>8</v>
      </c>
    </row>
    <row r="15" spans="2:19" ht="15.5" thickTop="1" thickBot="1" x14ac:dyDescent="0.4">
      <c r="B15" s="22" t="s">
        <v>183</v>
      </c>
      <c r="C15" s="60" t="s">
        <v>122</v>
      </c>
      <c r="D15" s="61" t="s">
        <v>60</v>
      </c>
      <c r="E15" s="61" t="s">
        <v>67</v>
      </c>
      <c r="F15" s="61" t="s">
        <v>61</v>
      </c>
      <c r="G15" s="61"/>
      <c r="H15" s="61"/>
      <c r="I15" s="61"/>
      <c r="J15" s="61"/>
      <c r="K15" s="62"/>
      <c r="L15" s="62"/>
      <c r="M15" s="62"/>
      <c r="N15" s="62"/>
      <c r="O15" s="62"/>
      <c r="P15" s="63"/>
      <c r="Q15" s="52"/>
      <c r="R15" s="52"/>
    </row>
    <row r="16" spans="2:19" ht="15" thickTop="1" x14ac:dyDescent="0.35"/>
    <row r="17" spans="2:16" ht="15" thickBot="1" x14ac:dyDescent="0.4"/>
    <row r="18" spans="2:16" ht="15.5" thickTop="1" thickBot="1" x14ac:dyDescent="0.4">
      <c r="B18" s="54" t="s">
        <v>0</v>
      </c>
      <c r="C18" s="55" t="s">
        <v>167</v>
      </c>
      <c r="D18" s="55" t="s">
        <v>168</v>
      </c>
      <c r="E18" s="55" t="s">
        <v>169</v>
      </c>
      <c r="F18" s="55" t="s">
        <v>170</v>
      </c>
      <c r="G18" s="55" t="s">
        <v>171</v>
      </c>
      <c r="H18" s="55" t="s">
        <v>172</v>
      </c>
      <c r="I18" s="55" t="s">
        <v>173</v>
      </c>
      <c r="J18" s="55" t="s">
        <v>174</v>
      </c>
      <c r="K18" s="55" t="s">
        <v>175</v>
      </c>
      <c r="L18" s="55" t="s">
        <v>176</v>
      </c>
      <c r="M18" s="55" t="s">
        <v>177</v>
      </c>
      <c r="N18" s="55" t="s">
        <v>178</v>
      </c>
      <c r="O18" s="55" t="s">
        <v>179</v>
      </c>
      <c r="P18" s="56" t="s">
        <v>182</v>
      </c>
    </row>
    <row r="19" spans="2:16" ht="15.5" thickTop="1" thickBot="1" x14ac:dyDescent="0.4">
      <c r="B19" s="49" t="s">
        <v>1</v>
      </c>
      <c r="C19" s="59" t="s">
        <v>24</v>
      </c>
      <c r="D19" s="50" t="s">
        <v>165</v>
      </c>
      <c r="E19" s="50" t="s">
        <v>23</v>
      </c>
      <c r="F19" s="50" t="s">
        <v>180</v>
      </c>
      <c r="G19" s="50" t="s">
        <v>142</v>
      </c>
      <c r="H19" s="50" t="s">
        <v>114</v>
      </c>
      <c r="I19" s="50" t="s">
        <v>28</v>
      </c>
      <c r="J19" s="50" t="s">
        <v>141</v>
      </c>
      <c r="K19" s="50" t="s">
        <v>165</v>
      </c>
      <c r="L19" s="50" t="s">
        <v>111</v>
      </c>
      <c r="M19" s="50" t="s">
        <v>114</v>
      </c>
      <c r="N19" s="50" t="s">
        <v>181</v>
      </c>
      <c r="O19" s="50" t="s">
        <v>142</v>
      </c>
      <c r="P19" s="51" t="s">
        <v>165</v>
      </c>
    </row>
    <row r="20" spans="2:16" ht="15" thickTop="1" x14ac:dyDescent="0.35">
      <c r="B20" s="39" t="s">
        <v>3</v>
      </c>
      <c r="C20" s="70">
        <f>IF(C6="ARI",1,"-")</f>
        <v>1</v>
      </c>
      <c r="D20" s="72">
        <f>IF(D6="MIN",1,"-")</f>
        <v>1</v>
      </c>
      <c r="E20" s="72">
        <f>IF(E6="TEN",1,"-")</f>
        <v>1</v>
      </c>
      <c r="F20" s="72">
        <f>IF(F6="NE",1,"-")</f>
        <v>1</v>
      </c>
      <c r="G20" s="72">
        <f>IF(G6="PIT",1,"-")</f>
        <v>1</v>
      </c>
      <c r="H20" s="72" t="str">
        <f>IF(H6="WAS",1,"-")</f>
        <v>-</v>
      </c>
      <c r="I20" s="72">
        <f>IF(I6="DET",1,"-")</f>
        <v>1</v>
      </c>
      <c r="J20" s="72">
        <f>IF(J6="IND",1,"-")</f>
        <v>1</v>
      </c>
      <c r="K20" s="72">
        <f>IF(K6="ATL",1,"-")</f>
        <v>1</v>
      </c>
      <c r="L20" s="72" t="str">
        <f>IF(L6="BUF",1,"-")</f>
        <v>-</v>
      </c>
      <c r="M20" s="72">
        <f>IF(M6="OAK",1,"-")</f>
        <v>1</v>
      </c>
      <c r="N20" s="72">
        <f>IF(N6="DAL",1,"-")</f>
        <v>1</v>
      </c>
      <c r="O20" s="72">
        <f>IF(O6="GB",1,"-")</f>
        <v>1</v>
      </c>
      <c r="P20" s="57" t="str">
        <f>IF(P6="TB",1,"-")</f>
        <v>-</v>
      </c>
    </row>
    <row r="21" spans="2:16" x14ac:dyDescent="0.35">
      <c r="B21" s="40" t="s">
        <v>29</v>
      </c>
      <c r="C21" s="70">
        <f t="shared" ref="C21:C28" si="1">IF(C7="ARI",1,"-")</f>
        <v>1</v>
      </c>
      <c r="D21" s="72">
        <f t="shared" ref="D21:D28" si="2">IF(D7="MIN",1,"-")</f>
        <v>1</v>
      </c>
      <c r="E21" s="72">
        <f t="shared" ref="E21:E28" si="3">IF(E7="TEN",1,"-")</f>
        <v>1</v>
      </c>
      <c r="F21" s="72">
        <f t="shared" ref="F21:F28" si="4">IF(F7="NE",1,"-")</f>
        <v>1</v>
      </c>
      <c r="G21" s="72">
        <f t="shared" ref="G21:G28" si="5">IF(G7="PIT",1,"-")</f>
        <v>1</v>
      </c>
      <c r="H21" s="72" t="str">
        <f t="shared" ref="H21:H28" si="6">IF(H7="WAS",1,"-")</f>
        <v>-</v>
      </c>
      <c r="I21" s="72" t="str">
        <f t="shared" ref="I21:I28" si="7">IF(I7="DET",1,"-")</f>
        <v>-</v>
      </c>
      <c r="J21" s="72">
        <f t="shared" ref="J21:J28" si="8">IF(J7="IND",1,"-")</f>
        <v>1</v>
      </c>
      <c r="K21" s="72" t="str">
        <f t="shared" ref="K21:K28" si="9">IF(K7="ATL",1,"-")</f>
        <v>-</v>
      </c>
      <c r="L21" s="72" t="str">
        <f t="shared" ref="L21:L28" si="10">IF(L7="BUF",1,"-")</f>
        <v>-</v>
      </c>
      <c r="M21" s="72">
        <f t="shared" ref="M21:M28" si="11">IF(M7="OAK",1,"-")</f>
        <v>1</v>
      </c>
      <c r="N21" s="72">
        <f t="shared" ref="N21:N28" si="12">IF(N7="DAL",1,"-")</f>
        <v>1</v>
      </c>
      <c r="O21" s="72">
        <f t="shared" ref="O21:O28" si="13">IF(O7="GB",1,"-")</f>
        <v>1</v>
      </c>
      <c r="P21" s="57" t="str">
        <f t="shared" ref="P21:P28" si="14">IF(P7="TB",1,"-")</f>
        <v>-</v>
      </c>
    </row>
    <row r="22" spans="2:16" x14ac:dyDescent="0.35">
      <c r="B22" s="39" t="s">
        <v>30</v>
      </c>
      <c r="C22" s="70">
        <f t="shared" si="1"/>
        <v>1</v>
      </c>
      <c r="D22" s="72">
        <f t="shared" si="2"/>
        <v>1</v>
      </c>
      <c r="E22" s="72" t="str">
        <f t="shared" si="3"/>
        <v>-</v>
      </c>
      <c r="F22" s="72">
        <f t="shared" si="4"/>
        <v>1</v>
      </c>
      <c r="G22" s="72">
        <f t="shared" si="5"/>
        <v>1</v>
      </c>
      <c r="H22" s="72" t="str">
        <f t="shared" si="6"/>
        <v>-</v>
      </c>
      <c r="I22" s="72">
        <f t="shared" si="7"/>
        <v>1</v>
      </c>
      <c r="J22" s="72">
        <f t="shared" si="8"/>
        <v>1</v>
      </c>
      <c r="K22" s="72" t="str">
        <f t="shared" si="9"/>
        <v>-</v>
      </c>
      <c r="L22" s="72">
        <f t="shared" si="10"/>
        <v>1</v>
      </c>
      <c r="M22" s="72">
        <f t="shared" si="11"/>
        <v>1</v>
      </c>
      <c r="N22" s="72">
        <f t="shared" si="12"/>
        <v>1</v>
      </c>
      <c r="O22" s="72">
        <f t="shared" si="13"/>
        <v>1</v>
      </c>
      <c r="P22" s="57" t="str">
        <f t="shared" si="14"/>
        <v>-</v>
      </c>
    </row>
    <row r="23" spans="2:16" x14ac:dyDescent="0.35">
      <c r="B23" s="40" t="s">
        <v>31</v>
      </c>
      <c r="C23" s="70">
        <f t="shared" si="1"/>
        <v>1</v>
      </c>
      <c r="D23" s="72">
        <f t="shared" si="2"/>
        <v>1</v>
      </c>
      <c r="E23" s="72">
        <f t="shared" si="3"/>
        <v>1</v>
      </c>
      <c r="F23" s="72">
        <f t="shared" si="4"/>
        <v>1</v>
      </c>
      <c r="G23" s="72">
        <f t="shared" si="5"/>
        <v>1</v>
      </c>
      <c r="H23" s="72">
        <f t="shared" si="6"/>
        <v>1</v>
      </c>
      <c r="I23" s="72" t="str">
        <f t="shared" si="7"/>
        <v>-</v>
      </c>
      <c r="J23" s="72">
        <f t="shared" si="8"/>
        <v>1</v>
      </c>
      <c r="K23" s="72" t="str">
        <f t="shared" si="9"/>
        <v>-</v>
      </c>
      <c r="L23" s="72">
        <f t="shared" si="10"/>
        <v>1</v>
      </c>
      <c r="M23" s="72" t="str">
        <f t="shared" si="11"/>
        <v>-</v>
      </c>
      <c r="N23" s="72" t="str">
        <f t="shared" si="12"/>
        <v>-</v>
      </c>
      <c r="O23" s="72">
        <f t="shared" si="13"/>
        <v>1</v>
      </c>
      <c r="P23" s="57" t="str">
        <f t="shared" si="14"/>
        <v>-</v>
      </c>
    </row>
    <row r="24" spans="2:16" x14ac:dyDescent="0.35">
      <c r="B24" s="39" t="s">
        <v>32</v>
      </c>
      <c r="C24" s="70">
        <f t="shared" si="1"/>
        <v>1</v>
      </c>
      <c r="D24" s="72">
        <f t="shared" si="2"/>
        <v>1</v>
      </c>
      <c r="E24" s="72" t="str">
        <f t="shared" si="3"/>
        <v>-</v>
      </c>
      <c r="F24" s="72">
        <f t="shared" si="4"/>
        <v>1</v>
      </c>
      <c r="G24" s="72">
        <f t="shared" si="5"/>
        <v>1</v>
      </c>
      <c r="H24" s="72" t="str">
        <f t="shared" si="6"/>
        <v>-</v>
      </c>
      <c r="I24" s="72" t="str">
        <f t="shared" si="7"/>
        <v>-</v>
      </c>
      <c r="J24" s="72">
        <f t="shared" si="8"/>
        <v>1</v>
      </c>
      <c r="K24" s="72" t="str">
        <f t="shared" si="9"/>
        <v>-</v>
      </c>
      <c r="L24" s="72">
        <f t="shared" si="10"/>
        <v>1</v>
      </c>
      <c r="M24" s="72">
        <f t="shared" si="11"/>
        <v>1</v>
      </c>
      <c r="N24" s="72">
        <f t="shared" si="12"/>
        <v>1</v>
      </c>
      <c r="O24" s="72">
        <f t="shared" si="13"/>
        <v>1</v>
      </c>
      <c r="P24" s="57" t="str">
        <f t="shared" si="14"/>
        <v>-</v>
      </c>
    </row>
    <row r="25" spans="2:16" x14ac:dyDescent="0.35">
      <c r="B25" s="40" t="s">
        <v>35</v>
      </c>
      <c r="C25" s="70">
        <f t="shared" si="1"/>
        <v>1</v>
      </c>
      <c r="D25" s="72">
        <f t="shared" si="2"/>
        <v>1</v>
      </c>
      <c r="E25" s="72">
        <f t="shared" si="3"/>
        <v>1</v>
      </c>
      <c r="F25" s="72">
        <f t="shared" si="4"/>
        <v>1</v>
      </c>
      <c r="G25" s="72">
        <f t="shared" si="5"/>
        <v>1</v>
      </c>
      <c r="H25" s="72" t="str">
        <f t="shared" si="6"/>
        <v>-</v>
      </c>
      <c r="I25" s="72">
        <f t="shared" si="7"/>
        <v>1</v>
      </c>
      <c r="J25" s="72">
        <f t="shared" si="8"/>
        <v>1</v>
      </c>
      <c r="K25" s="72">
        <f t="shared" si="9"/>
        <v>1</v>
      </c>
      <c r="L25" s="72">
        <f t="shared" si="10"/>
        <v>1</v>
      </c>
      <c r="M25" s="72">
        <f t="shared" si="11"/>
        <v>1</v>
      </c>
      <c r="N25" s="72" t="str">
        <f t="shared" si="12"/>
        <v>-</v>
      </c>
      <c r="O25" s="72">
        <f t="shared" si="13"/>
        <v>1</v>
      </c>
      <c r="P25" s="57" t="str">
        <f t="shared" si="14"/>
        <v>-</v>
      </c>
    </row>
    <row r="26" spans="2:16" x14ac:dyDescent="0.35">
      <c r="B26" s="39" t="s">
        <v>36</v>
      </c>
      <c r="C26" s="70">
        <f t="shared" si="1"/>
        <v>1</v>
      </c>
      <c r="D26" s="72">
        <f t="shared" si="2"/>
        <v>1</v>
      </c>
      <c r="E26" s="72" t="str">
        <f t="shared" si="3"/>
        <v>-</v>
      </c>
      <c r="F26" s="72">
        <f t="shared" si="4"/>
        <v>1</v>
      </c>
      <c r="G26" s="72">
        <f t="shared" si="5"/>
        <v>1</v>
      </c>
      <c r="H26" s="72" t="str">
        <f t="shared" si="6"/>
        <v>-</v>
      </c>
      <c r="I26" s="72" t="str">
        <f t="shared" si="7"/>
        <v>-</v>
      </c>
      <c r="J26" s="72">
        <f t="shared" si="8"/>
        <v>1</v>
      </c>
      <c r="K26" s="72" t="str">
        <f t="shared" si="9"/>
        <v>-</v>
      </c>
      <c r="L26" s="72" t="str">
        <f t="shared" si="10"/>
        <v>-</v>
      </c>
      <c r="M26" s="72">
        <f t="shared" si="11"/>
        <v>1</v>
      </c>
      <c r="N26" s="72" t="str">
        <f t="shared" si="12"/>
        <v>-</v>
      </c>
      <c r="O26" s="72">
        <f t="shared" si="13"/>
        <v>1</v>
      </c>
      <c r="P26" s="57" t="str">
        <f t="shared" si="14"/>
        <v>-</v>
      </c>
    </row>
    <row r="27" spans="2:16" x14ac:dyDescent="0.35">
      <c r="B27" s="40" t="s">
        <v>37</v>
      </c>
      <c r="C27" s="70" t="str">
        <f t="shared" si="1"/>
        <v>-</v>
      </c>
      <c r="D27" s="72" t="str">
        <f t="shared" si="2"/>
        <v>-</v>
      </c>
      <c r="E27" s="72" t="str">
        <f t="shared" si="3"/>
        <v>-</v>
      </c>
      <c r="F27" s="72">
        <f t="shared" si="4"/>
        <v>1</v>
      </c>
      <c r="G27" s="72">
        <f t="shared" si="5"/>
        <v>1</v>
      </c>
      <c r="H27" s="72" t="str">
        <f t="shared" si="6"/>
        <v>-</v>
      </c>
      <c r="I27" s="72" t="str">
        <f t="shared" si="7"/>
        <v>-</v>
      </c>
      <c r="J27" s="72">
        <f t="shared" si="8"/>
        <v>1</v>
      </c>
      <c r="K27" s="72" t="str">
        <f t="shared" si="9"/>
        <v>-</v>
      </c>
      <c r="L27" s="72">
        <f t="shared" si="10"/>
        <v>1</v>
      </c>
      <c r="M27" s="72">
        <f t="shared" si="11"/>
        <v>1</v>
      </c>
      <c r="N27" s="72">
        <f t="shared" si="12"/>
        <v>1</v>
      </c>
      <c r="O27" s="72">
        <f t="shared" si="13"/>
        <v>1</v>
      </c>
      <c r="P27" s="57" t="str">
        <f t="shared" si="14"/>
        <v>-</v>
      </c>
    </row>
    <row r="28" spans="2:16" ht="15" thickBot="1" x14ac:dyDescent="0.4">
      <c r="B28" s="76" t="s">
        <v>57</v>
      </c>
      <c r="C28" s="73">
        <f t="shared" si="1"/>
        <v>1</v>
      </c>
      <c r="D28" s="74">
        <f t="shared" si="2"/>
        <v>1</v>
      </c>
      <c r="E28" s="74" t="str">
        <f t="shared" si="3"/>
        <v>-</v>
      </c>
      <c r="F28" s="74">
        <f t="shared" si="4"/>
        <v>1</v>
      </c>
      <c r="G28" s="74">
        <f t="shared" si="5"/>
        <v>1</v>
      </c>
      <c r="H28" s="74" t="str">
        <f t="shared" si="6"/>
        <v>-</v>
      </c>
      <c r="I28" s="74" t="str">
        <f t="shared" si="7"/>
        <v>-</v>
      </c>
      <c r="J28" s="74">
        <f t="shared" si="8"/>
        <v>1</v>
      </c>
      <c r="K28" s="74" t="str">
        <f t="shared" si="9"/>
        <v>-</v>
      </c>
      <c r="L28" s="74" t="str">
        <f t="shared" si="10"/>
        <v>-</v>
      </c>
      <c r="M28" s="74">
        <f t="shared" si="11"/>
        <v>1</v>
      </c>
      <c r="N28" s="74">
        <f t="shared" si="12"/>
        <v>1</v>
      </c>
      <c r="O28" s="74">
        <f t="shared" si="13"/>
        <v>1</v>
      </c>
      <c r="P28" s="75" t="str">
        <f t="shared" si="14"/>
        <v>-</v>
      </c>
    </row>
  </sheetData>
  <mergeCells count="1">
    <mergeCell ref="S4:S5"/>
  </mergeCells>
  <conditionalFormatting sqref="A1:XFD1048576">
    <cfRule type="cellIs" dxfId="3894" priority="2" operator="equal">
      <formula>"PHI"</formula>
    </cfRule>
    <cfRule type="cellIs" dxfId="3893" priority="3" operator="equal">
      <formula>"GB"</formula>
    </cfRule>
    <cfRule type="cellIs" dxfId="3892" priority="4" operator="equal">
      <formula>"MIN"</formula>
    </cfRule>
    <cfRule type="cellIs" dxfId="3891" priority="5" operator="equal">
      <formula>"NYG"</formula>
    </cfRule>
    <cfRule type="cellIs" dxfId="3890" priority="6" operator="equal">
      <formula>"PIT"</formula>
    </cfRule>
    <cfRule type="cellIs" dxfId="3889" priority="7" operator="equal">
      <formula>"KC"</formula>
    </cfRule>
    <cfRule type="cellIs" dxfId="3888" priority="8" operator="equal">
      <formula>"ARI"</formula>
    </cfRule>
    <cfRule type="cellIs" dxfId="3887" priority="9" operator="equal">
      <formula>"LA"</formula>
    </cfRule>
    <cfRule type="cellIs" dxfId="3886" priority="10" operator="equal">
      <formula>"SD"</formula>
    </cfRule>
    <cfRule type="cellIs" dxfId="3885" priority="11" operator="equal">
      <formula>"NO"</formula>
    </cfRule>
    <cfRule type="cellIs" dxfId="3884" priority="12" operator="equal">
      <formula>"SF"</formula>
    </cfRule>
    <cfRule type="cellIs" dxfId="3883" priority="13" operator="equal">
      <formula>"DAL"</formula>
    </cfRule>
    <cfRule type="cellIs" dxfId="3882" priority="14" operator="equal">
      <formula>"TB"</formula>
    </cfRule>
    <cfRule type="cellIs" dxfId="3881" priority="15" operator="equal">
      <formula>"DEN"</formula>
    </cfRule>
    <cfRule type="cellIs" dxfId="3880" priority="16" operator="equal">
      <formula>"BAL"</formula>
    </cfRule>
    <cfRule type="cellIs" dxfId="3879" priority="17" operator="equal">
      <formula>"OAK"</formula>
    </cfRule>
    <cfRule type="cellIs" dxfId="3878" priority="18" operator="equal">
      <formula>"HOU"</formula>
    </cfRule>
    <cfRule type="cellIs" dxfId="3877" priority="19" operator="equal">
      <formula>"TEN"</formula>
    </cfRule>
    <cfRule type="cellIs" dxfId="3876" priority="20" operator="equal">
      <formula>"CHI"</formula>
    </cfRule>
    <cfRule type="cellIs" dxfId="3875" priority="21" operator="equal">
      <formula>"DET"</formula>
    </cfRule>
    <cfRule type="cellIs" dxfId="3874" priority="22" operator="equal">
      <formula>"ATL"</formula>
    </cfRule>
    <cfRule type="cellIs" dxfId="3873" priority="23" operator="equal">
      <formula>"CAR"</formula>
    </cfRule>
    <cfRule type="cellIs" dxfId="3872" priority="24" operator="equal">
      <formula>"IND"</formula>
    </cfRule>
    <cfRule type="cellIs" dxfId="3871" priority="25" operator="equal">
      <formula>"JAX"</formula>
    </cfRule>
    <cfRule type="cellIs" dxfId="3870" priority="26" operator="equal">
      <formula>"NYJ"</formula>
    </cfRule>
    <cfRule type="cellIs" dxfId="3869" priority="27" operator="equal">
      <formula>"SEA"</formula>
    </cfRule>
    <cfRule type="cellIs" dxfId="3868" priority="28" operator="equal">
      <formula>"NE"</formula>
    </cfRule>
    <cfRule type="cellIs" dxfId="3867" priority="29" operator="equal">
      <formula>"BUF"</formula>
    </cfRule>
    <cfRule type="cellIs" dxfId="3866" priority="30" operator="equal">
      <formula>"WAS"</formula>
    </cfRule>
    <cfRule type="cellIs" dxfId="3865" priority="31" operator="equal">
      <formula>"CLE"</formula>
    </cfRule>
    <cfRule type="cellIs" dxfId="3864" priority="32" operator="equal">
      <formula>"CIN"</formula>
    </cfRule>
    <cfRule type="cellIs" dxfId="3863" priority="33" operator="equal">
      <formula>"MIA"</formula>
    </cfRule>
  </conditionalFormatting>
  <conditionalFormatting sqref="C20:P28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S28"/>
  <sheetViews>
    <sheetView zoomScaleNormal="100" workbookViewId="0"/>
  </sheetViews>
  <sheetFormatPr defaultRowHeight="14.5" x14ac:dyDescent="0.35"/>
  <cols>
    <col min="1" max="1" width="8.7265625" style="41"/>
    <col min="2" max="2" width="10.90625" style="41" bestFit="1" customWidth="1"/>
    <col min="3" max="3" width="8.36328125" style="41" bestFit="1" customWidth="1"/>
    <col min="4" max="4" width="7.7265625" style="41" bestFit="1" customWidth="1"/>
    <col min="5" max="5" width="9.453125" style="41" bestFit="1" customWidth="1"/>
    <col min="6" max="6" width="8.81640625" style="41" bestFit="1" customWidth="1"/>
    <col min="7" max="7" width="9.26953125" style="41" bestFit="1" customWidth="1"/>
    <col min="8" max="8" width="8.6328125" style="41" bestFit="1" customWidth="1"/>
    <col min="9" max="9" width="8.453125" style="41" bestFit="1" customWidth="1"/>
    <col min="10" max="10" width="7.90625" style="41" bestFit="1" customWidth="1"/>
    <col min="11" max="11" width="8.7265625" style="41" bestFit="1" customWidth="1"/>
    <col min="12" max="12" width="7.81640625" style="41" bestFit="1" customWidth="1"/>
    <col min="13" max="13" width="8.453125" style="41" bestFit="1" customWidth="1"/>
    <col min="14" max="14" width="8.7265625" style="41" bestFit="1" customWidth="1"/>
    <col min="15" max="15" width="8.26953125" style="41" bestFit="1" customWidth="1"/>
    <col min="16" max="16" width="9.6328125" style="41" bestFit="1" customWidth="1"/>
    <col min="17" max="17" width="8.36328125" style="41" bestFit="1" customWidth="1"/>
    <col min="18" max="18" width="9.08984375" style="41" hidden="1" customWidth="1"/>
    <col min="19" max="16384" width="8.7265625" style="41"/>
  </cols>
  <sheetData>
    <row r="1" spans="2:19" x14ac:dyDescent="0.35">
      <c r="O1" s="77"/>
    </row>
    <row r="3" spans="2:19" ht="15" thickBot="1" x14ac:dyDescent="0.4">
      <c r="D3" s="69"/>
      <c r="P3" s="2"/>
    </row>
    <row r="4" spans="2:19" ht="15.5" customHeight="1" thickTop="1" thickBot="1" x14ac:dyDescent="0.4">
      <c r="B4" s="11" t="s">
        <v>0</v>
      </c>
      <c r="C4" s="82" t="s">
        <v>184</v>
      </c>
      <c r="D4" s="82" t="s">
        <v>185</v>
      </c>
      <c r="E4" s="82" t="s">
        <v>186</v>
      </c>
      <c r="F4" s="82" t="s">
        <v>187</v>
      </c>
      <c r="G4" s="82" t="s">
        <v>188</v>
      </c>
      <c r="H4" s="82" t="s">
        <v>189</v>
      </c>
      <c r="I4" s="82" t="s">
        <v>190</v>
      </c>
      <c r="J4" s="82" t="s">
        <v>191</v>
      </c>
      <c r="K4" s="82" t="s">
        <v>192</v>
      </c>
      <c r="L4" s="82" t="s">
        <v>193</v>
      </c>
      <c r="M4" s="82" t="s">
        <v>194</v>
      </c>
      <c r="N4" s="82" t="s">
        <v>195</v>
      </c>
      <c r="O4" s="82" t="s">
        <v>196</v>
      </c>
      <c r="P4" s="79" t="s">
        <v>197</v>
      </c>
      <c r="Q4" s="82" t="s">
        <v>198</v>
      </c>
      <c r="R4" s="69" t="s">
        <v>161</v>
      </c>
      <c r="S4" s="406" t="s">
        <v>92</v>
      </c>
    </row>
    <row r="5" spans="2:19" ht="15.5" thickTop="1" thickBot="1" x14ac:dyDescent="0.4">
      <c r="B5" s="26" t="s">
        <v>1</v>
      </c>
      <c r="C5" s="8" t="s">
        <v>19</v>
      </c>
      <c r="D5" s="8" t="s">
        <v>142</v>
      </c>
      <c r="E5" s="8" t="s">
        <v>22</v>
      </c>
      <c r="F5" s="8" t="s">
        <v>25</v>
      </c>
      <c r="G5" s="8" t="s">
        <v>20</v>
      </c>
      <c r="H5" s="8" t="s">
        <v>28</v>
      </c>
      <c r="I5" s="8" t="s">
        <v>22</v>
      </c>
      <c r="J5" s="8" t="s">
        <v>111</v>
      </c>
      <c r="K5" s="8" t="s">
        <v>199</v>
      </c>
      <c r="L5" s="8" t="s">
        <v>200</v>
      </c>
      <c r="M5" s="8" t="s">
        <v>22</v>
      </c>
      <c r="N5" s="8" t="s">
        <v>142</v>
      </c>
      <c r="O5" s="8" t="s">
        <v>141</v>
      </c>
      <c r="P5" s="8" t="s">
        <v>20</v>
      </c>
      <c r="Q5" s="8" t="s">
        <v>21</v>
      </c>
      <c r="R5" s="27"/>
      <c r="S5" s="407"/>
    </row>
    <row r="6" spans="2:19" ht="15" thickTop="1" x14ac:dyDescent="0.35">
      <c r="B6" s="22" t="s">
        <v>3</v>
      </c>
      <c r="C6" s="69" t="s">
        <v>119</v>
      </c>
      <c r="D6" s="69" t="s">
        <v>65</v>
      </c>
      <c r="E6" s="69" t="s">
        <v>71</v>
      </c>
      <c r="F6" s="69" t="s">
        <v>120</v>
      </c>
      <c r="G6" s="69" t="s">
        <v>68</v>
      </c>
      <c r="H6" s="69" t="s">
        <v>61</v>
      </c>
      <c r="I6" s="69" t="s">
        <v>122</v>
      </c>
      <c r="J6" s="69" t="s">
        <v>117</v>
      </c>
      <c r="K6" s="69" t="s">
        <v>76</v>
      </c>
      <c r="L6" s="69" t="s">
        <v>89</v>
      </c>
      <c r="M6" s="69" t="s">
        <v>74</v>
      </c>
      <c r="N6" s="69" t="s">
        <v>58</v>
      </c>
      <c r="O6" s="69" t="s">
        <v>64</v>
      </c>
      <c r="P6" s="80" t="s">
        <v>66</v>
      </c>
      <c r="Q6" s="47" t="s">
        <v>118</v>
      </c>
      <c r="R6" s="46"/>
      <c r="S6" s="196">
        <f>SUM(C20:R20)</f>
        <v>11</v>
      </c>
    </row>
    <row r="7" spans="2:19" x14ac:dyDescent="0.35">
      <c r="B7" s="22" t="s">
        <v>29</v>
      </c>
      <c r="C7" s="82" t="s">
        <v>119</v>
      </c>
      <c r="D7" s="82" t="s">
        <v>65</v>
      </c>
      <c r="E7" s="82" t="s">
        <v>75</v>
      </c>
      <c r="F7" s="82" t="s">
        <v>120</v>
      </c>
      <c r="G7" s="82" t="s">
        <v>68</v>
      </c>
      <c r="H7" s="82" t="s">
        <v>61</v>
      </c>
      <c r="I7" s="82" t="s">
        <v>122</v>
      </c>
      <c r="J7" s="82" t="s">
        <v>117</v>
      </c>
      <c r="K7" s="82" t="s">
        <v>76</v>
      </c>
      <c r="L7" s="82" t="s">
        <v>89</v>
      </c>
      <c r="M7" s="82" t="s">
        <v>74</v>
      </c>
      <c r="N7" s="82" t="s">
        <v>58</v>
      </c>
      <c r="O7" s="82" t="s">
        <v>64</v>
      </c>
      <c r="P7" s="81" t="s">
        <v>66</v>
      </c>
      <c r="Q7" s="83" t="s">
        <v>118</v>
      </c>
      <c r="R7" s="45"/>
      <c r="S7" s="197">
        <f t="shared" ref="S7:S14" si="0">SUM(C21:R21)</f>
        <v>10</v>
      </c>
    </row>
    <row r="8" spans="2:19" x14ac:dyDescent="0.35">
      <c r="B8" s="22" t="s">
        <v>30</v>
      </c>
      <c r="C8" s="82" t="s">
        <v>34</v>
      </c>
      <c r="D8" s="82" t="s">
        <v>65</v>
      </c>
      <c r="E8" s="82" t="s">
        <v>71</v>
      </c>
      <c r="F8" s="82" t="s">
        <v>120</v>
      </c>
      <c r="G8" s="82" t="s">
        <v>91</v>
      </c>
      <c r="H8" s="82" t="s">
        <v>33</v>
      </c>
      <c r="I8" s="82" t="s">
        <v>122</v>
      </c>
      <c r="J8" s="82" t="s">
        <v>77</v>
      </c>
      <c r="K8" s="82" t="s">
        <v>76</v>
      </c>
      <c r="L8" s="82" t="s">
        <v>89</v>
      </c>
      <c r="M8" s="82" t="s">
        <v>60</v>
      </c>
      <c r="N8" s="82" t="s">
        <v>67</v>
      </c>
      <c r="O8" s="82" t="s">
        <v>90</v>
      </c>
      <c r="P8" s="81" t="s">
        <v>66</v>
      </c>
      <c r="Q8" s="83" t="s">
        <v>118</v>
      </c>
      <c r="R8" s="44"/>
      <c r="S8" s="196">
        <f t="shared" si="0"/>
        <v>10</v>
      </c>
    </row>
    <row r="9" spans="2:19" x14ac:dyDescent="0.35">
      <c r="B9" s="78" t="s">
        <v>31</v>
      </c>
      <c r="C9" s="82" t="s">
        <v>34</v>
      </c>
      <c r="D9" s="82" t="s">
        <v>65</v>
      </c>
      <c r="E9" s="82" t="s">
        <v>75</v>
      </c>
      <c r="F9" s="82" t="s">
        <v>120</v>
      </c>
      <c r="G9" s="82" t="s">
        <v>91</v>
      </c>
      <c r="H9" s="82" t="s">
        <v>33</v>
      </c>
      <c r="I9" s="82" t="s">
        <v>88</v>
      </c>
      <c r="J9" s="82" t="s">
        <v>117</v>
      </c>
      <c r="K9" s="82" t="s">
        <v>76</v>
      </c>
      <c r="L9" s="82" t="s">
        <v>89</v>
      </c>
      <c r="M9" s="82" t="s">
        <v>60</v>
      </c>
      <c r="N9" s="82" t="s">
        <v>67</v>
      </c>
      <c r="O9" s="82" t="s">
        <v>64</v>
      </c>
      <c r="P9" s="81" t="s">
        <v>69</v>
      </c>
      <c r="Q9" s="81" t="s">
        <v>118</v>
      </c>
      <c r="R9" s="44"/>
      <c r="S9" s="197">
        <f t="shared" si="0"/>
        <v>7</v>
      </c>
    </row>
    <row r="10" spans="2:19" x14ac:dyDescent="0.35">
      <c r="B10" s="78" t="s">
        <v>32</v>
      </c>
      <c r="C10" s="81" t="s">
        <v>34</v>
      </c>
      <c r="D10" s="81" t="s">
        <v>65</v>
      </c>
      <c r="E10" s="81" t="s">
        <v>75</v>
      </c>
      <c r="F10" s="81" t="s">
        <v>120</v>
      </c>
      <c r="G10" s="81" t="s">
        <v>68</v>
      </c>
      <c r="H10" s="81" t="s">
        <v>61</v>
      </c>
      <c r="I10" s="81" t="s">
        <v>122</v>
      </c>
      <c r="J10" s="81" t="s">
        <v>117</v>
      </c>
      <c r="K10" s="81" t="s">
        <v>76</v>
      </c>
      <c r="L10" s="81" t="s">
        <v>89</v>
      </c>
      <c r="M10" s="81" t="s">
        <v>60</v>
      </c>
      <c r="N10" s="81" t="s">
        <v>67</v>
      </c>
      <c r="O10" s="81" t="s">
        <v>64</v>
      </c>
      <c r="P10" s="81" t="s">
        <v>66</v>
      </c>
      <c r="Q10" s="83" t="s">
        <v>118</v>
      </c>
      <c r="R10" s="44"/>
      <c r="S10" s="196">
        <f t="shared" si="0"/>
        <v>11</v>
      </c>
    </row>
    <row r="11" spans="2:19" x14ac:dyDescent="0.35">
      <c r="B11" s="22" t="s">
        <v>35</v>
      </c>
      <c r="C11" s="82" t="s">
        <v>34</v>
      </c>
      <c r="D11" s="82" t="s">
        <v>65</v>
      </c>
      <c r="E11" s="82" t="s">
        <v>75</v>
      </c>
      <c r="F11" s="82" t="s">
        <v>120</v>
      </c>
      <c r="G11" s="82" t="s">
        <v>68</v>
      </c>
      <c r="H11" s="82" t="s">
        <v>33</v>
      </c>
      <c r="I11" s="82" t="s">
        <v>122</v>
      </c>
      <c r="J11" s="82" t="s">
        <v>77</v>
      </c>
      <c r="K11" s="82" t="s">
        <v>76</v>
      </c>
      <c r="L11" s="82" t="s">
        <v>89</v>
      </c>
      <c r="M11" s="82" t="s">
        <v>60</v>
      </c>
      <c r="N11" s="82" t="s">
        <v>67</v>
      </c>
      <c r="O11" s="82" t="s">
        <v>64</v>
      </c>
      <c r="P11" s="81" t="s">
        <v>69</v>
      </c>
      <c r="Q11" s="83" t="s">
        <v>118</v>
      </c>
      <c r="R11" s="44"/>
      <c r="S11" s="197">
        <f t="shared" si="0"/>
        <v>8</v>
      </c>
    </row>
    <row r="12" spans="2:19" x14ac:dyDescent="0.35">
      <c r="B12" s="29" t="s">
        <v>36</v>
      </c>
      <c r="C12" s="82" t="s">
        <v>34</v>
      </c>
      <c r="D12" s="82" t="s">
        <v>65</v>
      </c>
      <c r="E12" s="82" t="s">
        <v>75</v>
      </c>
      <c r="F12" s="82" t="s">
        <v>120</v>
      </c>
      <c r="G12" s="82" t="s">
        <v>68</v>
      </c>
      <c r="H12" s="82" t="s">
        <v>33</v>
      </c>
      <c r="I12" s="82" t="s">
        <v>122</v>
      </c>
      <c r="J12" s="82" t="s">
        <v>117</v>
      </c>
      <c r="K12" s="82" t="s">
        <v>76</v>
      </c>
      <c r="L12" s="82" t="s">
        <v>89</v>
      </c>
      <c r="M12" s="82" t="s">
        <v>74</v>
      </c>
      <c r="N12" s="82" t="s">
        <v>67</v>
      </c>
      <c r="O12" s="82" t="s">
        <v>64</v>
      </c>
      <c r="P12" s="81" t="s">
        <v>69</v>
      </c>
      <c r="Q12" s="83" t="s">
        <v>118</v>
      </c>
      <c r="R12" s="44"/>
      <c r="S12" s="196">
        <f t="shared" si="0"/>
        <v>8</v>
      </c>
    </row>
    <row r="13" spans="2:19" x14ac:dyDescent="0.35">
      <c r="B13" s="29" t="s">
        <v>37</v>
      </c>
      <c r="C13" s="69" t="s">
        <v>166</v>
      </c>
      <c r="D13" s="69" t="s">
        <v>65</v>
      </c>
      <c r="E13" s="69" t="s">
        <v>75</v>
      </c>
      <c r="F13" s="69" t="s">
        <v>120</v>
      </c>
      <c r="G13" s="69" t="s">
        <v>68</v>
      </c>
      <c r="H13" s="69" t="s">
        <v>33</v>
      </c>
      <c r="I13" s="69" t="s">
        <v>122</v>
      </c>
      <c r="J13" s="69" t="s">
        <v>77</v>
      </c>
      <c r="K13" s="69" t="s">
        <v>76</v>
      </c>
      <c r="L13" s="69" t="s">
        <v>89</v>
      </c>
      <c r="M13" s="81" t="s">
        <v>60</v>
      </c>
      <c r="N13" s="69" t="s">
        <v>58</v>
      </c>
      <c r="O13" s="69" t="s">
        <v>64</v>
      </c>
      <c r="P13" s="81" t="s">
        <v>69</v>
      </c>
      <c r="Q13" s="47" t="s">
        <v>118</v>
      </c>
      <c r="R13" s="47"/>
      <c r="S13" s="197">
        <f t="shared" si="0"/>
        <v>7</v>
      </c>
    </row>
    <row r="14" spans="2:19" ht="15" thickBot="1" x14ac:dyDescent="0.4">
      <c r="B14" s="53" t="s">
        <v>57</v>
      </c>
      <c r="C14" s="82" t="s">
        <v>201</v>
      </c>
      <c r="D14" s="82" t="s">
        <v>202</v>
      </c>
      <c r="E14" s="82" t="s">
        <v>80</v>
      </c>
      <c r="F14" s="82" t="s">
        <v>203</v>
      </c>
      <c r="G14" s="82" t="s">
        <v>204</v>
      </c>
      <c r="H14" s="82" t="s">
        <v>205</v>
      </c>
      <c r="I14" s="82" t="s">
        <v>122</v>
      </c>
      <c r="J14" s="82" t="s">
        <v>77</v>
      </c>
      <c r="K14" s="82" t="s">
        <v>76</v>
      </c>
      <c r="L14" s="82" t="s">
        <v>89</v>
      </c>
      <c r="M14" s="82" t="s">
        <v>60</v>
      </c>
      <c r="N14" s="82" t="s">
        <v>67</v>
      </c>
      <c r="O14" s="82" t="s">
        <v>64</v>
      </c>
      <c r="P14" s="79" t="s">
        <v>66</v>
      </c>
      <c r="Q14" s="87" t="s">
        <v>118</v>
      </c>
      <c r="R14" s="47"/>
      <c r="S14" s="227">
        <f t="shared" si="0"/>
        <v>10</v>
      </c>
    </row>
    <row r="15" spans="2:19" ht="15" customHeight="1" thickTop="1" thickBot="1" x14ac:dyDescent="0.4">
      <c r="B15" s="22" t="s">
        <v>183</v>
      </c>
      <c r="C15" s="60" t="s">
        <v>87</v>
      </c>
      <c r="D15" s="61" t="s">
        <v>73</v>
      </c>
      <c r="E15" s="61"/>
      <c r="F15" s="61"/>
      <c r="G15" s="61"/>
      <c r="H15" s="61"/>
      <c r="I15" s="61"/>
      <c r="J15" s="61"/>
      <c r="K15" s="62"/>
      <c r="L15" s="62"/>
      <c r="M15" s="62"/>
      <c r="N15" s="62"/>
      <c r="O15" s="62"/>
      <c r="P15" s="89"/>
      <c r="Q15" s="88"/>
      <c r="R15" s="52"/>
    </row>
    <row r="16" spans="2:19" ht="15" thickTop="1" x14ac:dyDescent="0.35">
      <c r="B16" s="2"/>
      <c r="C16" s="81"/>
      <c r="D16" s="81"/>
      <c r="E16" s="81"/>
      <c r="F16" s="81"/>
      <c r="H16" s="81"/>
      <c r="I16" s="81"/>
      <c r="J16" s="81"/>
      <c r="K16" s="83"/>
      <c r="L16" s="83"/>
      <c r="M16" s="83"/>
      <c r="N16" s="83"/>
      <c r="O16" s="83"/>
      <c r="P16" s="83"/>
      <c r="Q16" s="1"/>
      <c r="R16" s="52"/>
    </row>
    <row r="17" spans="2:19" ht="15" thickBot="1" x14ac:dyDescent="0.4">
      <c r="G17" s="81"/>
    </row>
    <row r="18" spans="2:19" ht="15" thickBot="1" x14ac:dyDescent="0.4">
      <c r="B18" s="107" t="s">
        <v>0</v>
      </c>
      <c r="C18" s="108" t="s">
        <v>184</v>
      </c>
      <c r="D18" s="108" t="s">
        <v>185</v>
      </c>
      <c r="E18" s="108" t="s">
        <v>186</v>
      </c>
      <c r="F18" s="108" t="s">
        <v>187</v>
      </c>
      <c r="G18" s="108" t="s">
        <v>188</v>
      </c>
      <c r="H18" s="108" t="s">
        <v>189</v>
      </c>
      <c r="I18" s="108" t="s">
        <v>190</v>
      </c>
      <c r="J18" s="108" t="s">
        <v>191</v>
      </c>
      <c r="K18" s="108" t="s">
        <v>192</v>
      </c>
      <c r="L18" s="108" t="s">
        <v>193</v>
      </c>
      <c r="M18" s="108" t="s">
        <v>194</v>
      </c>
      <c r="N18" s="108" t="s">
        <v>195</v>
      </c>
      <c r="O18" s="108" t="s">
        <v>196</v>
      </c>
      <c r="P18" s="108" t="s">
        <v>197</v>
      </c>
      <c r="Q18" s="109" t="s">
        <v>198</v>
      </c>
    </row>
    <row r="19" spans="2:19" ht="15.5" thickTop="1" thickBot="1" x14ac:dyDescent="0.4">
      <c r="B19" s="110" t="s">
        <v>1</v>
      </c>
      <c r="C19" s="59" t="s">
        <v>19</v>
      </c>
      <c r="D19" s="84" t="s">
        <v>142</v>
      </c>
      <c r="E19" s="84" t="s">
        <v>22</v>
      </c>
      <c r="F19" s="84" t="s">
        <v>25</v>
      </c>
      <c r="G19" s="84" t="s">
        <v>20</v>
      </c>
      <c r="H19" s="84" t="s">
        <v>28</v>
      </c>
      <c r="I19" s="84" t="s">
        <v>22</v>
      </c>
      <c r="J19" s="84" t="s">
        <v>111</v>
      </c>
      <c r="K19" s="84" t="s">
        <v>199</v>
      </c>
      <c r="L19" s="84" t="s">
        <v>200</v>
      </c>
      <c r="M19" s="84" t="s">
        <v>22</v>
      </c>
      <c r="N19" s="84" t="s">
        <v>142</v>
      </c>
      <c r="O19" s="84" t="s">
        <v>141</v>
      </c>
      <c r="P19" s="84" t="s">
        <v>20</v>
      </c>
      <c r="Q19" s="111" t="s">
        <v>21</v>
      </c>
      <c r="S19" s="106"/>
    </row>
    <row r="20" spans="2:19" ht="15" thickTop="1" x14ac:dyDescent="0.35">
      <c r="B20" s="112" t="s">
        <v>3</v>
      </c>
      <c r="C20" s="70">
        <f>IF(C6="SD",1,"-")</f>
        <v>1</v>
      </c>
      <c r="D20" s="85">
        <f>IF(D6="BUF",1,"-")</f>
        <v>1</v>
      </c>
      <c r="E20" s="85">
        <f>IF(E6="WAS",1,"-")</f>
        <v>1</v>
      </c>
      <c r="F20" s="85">
        <f>IF(F6="TEN",1,"-")</f>
        <v>1</v>
      </c>
      <c r="G20" s="85">
        <f>IF(G6="NYG",1,"-")</f>
        <v>1</v>
      </c>
      <c r="H20" s="85">
        <f>IF(H6="NO",1,"-")</f>
        <v>1</v>
      </c>
      <c r="I20" s="85">
        <f>IF(I6="JAX",1,"-")</f>
        <v>1</v>
      </c>
      <c r="J20" s="85">
        <f>IF(J6="DET",1,"-")</f>
        <v>1</v>
      </c>
      <c r="K20" s="85" t="str">
        <f>IF(K6="MIA",1,"-")</f>
        <v>-</v>
      </c>
      <c r="L20" s="85">
        <f>IF(L6="NE",1,"-")</f>
        <v>1</v>
      </c>
      <c r="M20" s="85" t="str">
        <f>IF(M6="KC",1,"-")</f>
        <v>-</v>
      </c>
      <c r="N20" s="85" t="str">
        <f>IF(N6="SEA",1,"-")</f>
        <v>-</v>
      </c>
      <c r="O20" s="85" t="str">
        <f>IF(O6="DAL",1,"-")</f>
        <v>-</v>
      </c>
      <c r="P20" s="85">
        <f>IF(P6="HOU",1,"-")</f>
        <v>1</v>
      </c>
      <c r="Q20" s="98">
        <f>IF(Q6="ARI",1,"-")</f>
        <v>1</v>
      </c>
      <c r="S20" s="106"/>
    </row>
    <row r="21" spans="2:19" x14ac:dyDescent="0.35">
      <c r="B21" s="113" t="s">
        <v>29</v>
      </c>
      <c r="C21" s="70">
        <f t="shared" ref="C21:C28" si="1">IF(C7="SD",1,"-")</f>
        <v>1</v>
      </c>
      <c r="D21" s="85">
        <f t="shared" ref="D21:D28" si="2">IF(D7="BUF",1,"-")</f>
        <v>1</v>
      </c>
      <c r="E21" s="85" t="str">
        <f t="shared" ref="E21:E28" si="3">IF(E7="WAS",1,"-")</f>
        <v>-</v>
      </c>
      <c r="F21" s="85">
        <f t="shared" ref="F21:F28" si="4">IF(F7="TEN",1,"-")</f>
        <v>1</v>
      </c>
      <c r="G21" s="85">
        <f t="shared" ref="G21:G28" si="5">IF(G7="NYG",1,"-")</f>
        <v>1</v>
      </c>
      <c r="H21" s="85">
        <f t="shared" ref="H21:H28" si="6">IF(H7="NO",1,"-")</f>
        <v>1</v>
      </c>
      <c r="I21" s="85">
        <f t="shared" ref="I21:I28" si="7">IF(I7="JAX",1,"-")</f>
        <v>1</v>
      </c>
      <c r="J21" s="85">
        <f t="shared" ref="J21:J28" si="8">IF(J7="DET",1,"-")</f>
        <v>1</v>
      </c>
      <c r="K21" s="85" t="str">
        <f t="shared" ref="K21:K28" si="9">IF(K7="MIA",1,"-")</f>
        <v>-</v>
      </c>
      <c r="L21" s="85">
        <f t="shared" ref="L21:L28" si="10">IF(L7="NE",1,"-")</f>
        <v>1</v>
      </c>
      <c r="M21" s="85" t="str">
        <f t="shared" ref="M21:M28" si="11">IF(M7="KC",1,"-")</f>
        <v>-</v>
      </c>
      <c r="N21" s="85" t="str">
        <f t="shared" ref="N21:N28" si="12">IF(N7="SEA",1,"-")</f>
        <v>-</v>
      </c>
      <c r="O21" s="85" t="str">
        <f t="shared" ref="O21:O28" si="13">IF(O7="DAL",1,"-")</f>
        <v>-</v>
      </c>
      <c r="P21" s="85">
        <f t="shared" ref="P21:P28" si="14">IF(P7="HOU",1,"-")</f>
        <v>1</v>
      </c>
      <c r="Q21" s="98">
        <f t="shared" ref="Q21:Q28" si="15">IF(Q7="ARI",1,"-")</f>
        <v>1</v>
      </c>
      <c r="S21" s="106"/>
    </row>
    <row r="22" spans="2:19" x14ac:dyDescent="0.35">
      <c r="B22" s="112" t="s">
        <v>30</v>
      </c>
      <c r="C22" s="70" t="str">
        <f t="shared" si="1"/>
        <v>-</v>
      </c>
      <c r="D22" s="85">
        <f t="shared" si="2"/>
        <v>1</v>
      </c>
      <c r="E22" s="85">
        <f t="shared" si="3"/>
        <v>1</v>
      </c>
      <c r="F22" s="85">
        <f t="shared" si="4"/>
        <v>1</v>
      </c>
      <c r="G22" s="85" t="str">
        <f t="shared" si="5"/>
        <v>-</v>
      </c>
      <c r="H22" s="85" t="str">
        <f t="shared" si="6"/>
        <v>-</v>
      </c>
      <c r="I22" s="85">
        <f t="shared" si="7"/>
        <v>1</v>
      </c>
      <c r="J22" s="85" t="str">
        <f t="shared" si="8"/>
        <v>-</v>
      </c>
      <c r="K22" s="85" t="str">
        <f t="shared" si="9"/>
        <v>-</v>
      </c>
      <c r="L22" s="85">
        <f t="shared" si="10"/>
        <v>1</v>
      </c>
      <c r="M22" s="85">
        <f t="shared" si="11"/>
        <v>1</v>
      </c>
      <c r="N22" s="85">
        <f t="shared" si="12"/>
        <v>1</v>
      </c>
      <c r="O22" s="85">
        <f t="shared" si="13"/>
        <v>1</v>
      </c>
      <c r="P22" s="85">
        <f t="shared" si="14"/>
        <v>1</v>
      </c>
      <c r="Q22" s="98">
        <f t="shared" si="15"/>
        <v>1</v>
      </c>
      <c r="S22" s="106"/>
    </row>
    <row r="23" spans="2:19" x14ac:dyDescent="0.35">
      <c r="B23" s="113" t="s">
        <v>31</v>
      </c>
      <c r="C23" s="70" t="str">
        <f t="shared" si="1"/>
        <v>-</v>
      </c>
      <c r="D23" s="85">
        <f t="shared" si="2"/>
        <v>1</v>
      </c>
      <c r="E23" s="85" t="str">
        <f t="shared" si="3"/>
        <v>-</v>
      </c>
      <c r="F23" s="85">
        <f t="shared" si="4"/>
        <v>1</v>
      </c>
      <c r="G23" s="85" t="str">
        <f t="shared" si="5"/>
        <v>-</v>
      </c>
      <c r="H23" s="85" t="str">
        <f t="shared" si="6"/>
        <v>-</v>
      </c>
      <c r="I23" s="85" t="str">
        <f t="shared" si="7"/>
        <v>-</v>
      </c>
      <c r="J23" s="85">
        <f t="shared" si="8"/>
        <v>1</v>
      </c>
      <c r="K23" s="85" t="str">
        <f t="shared" si="9"/>
        <v>-</v>
      </c>
      <c r="L23" s="85">
        <f t="shared" si="10"/>
        <v>1</v>
      </c>
      <c r="M23" s="85">
        <f t="shared" si="11"/>
        <v>1</v>
      </c>
      <c r="N23" s="85">
        <f t="shared" si="12"/>
        <v>1</v>
      </c>
      <c r="O23" s="85" t="str">
        <f t="shared" si="13"/>
        <v>-</v>
      </c>
      <c r="P23" s="85" t="str">
        <f t="shared" si="14"/>
        <v>-</v>
      </c>
      <c r="Q23" s="98">
        <f t="shared" si="15"/>
        <v>1</v>
      </c>
      <c r="S23" s="106"/>
    </row>
    <row r="24" spans="2:19" x14ac:dyDescent="0.35">
      <c r="B24" s="112" t="s">
        <v>32</v>
      </c>
      <c r="C24" s="70" t="str">
        <f t="shared" si="1"/>
        <v>-</v>
      </c>
      <c r="D24" s="85">
        <f t="shared" si="2"/>
        <v>1</v>
      </c>
      <c r="E24" s="85" t="str">
        <f t="shared" si="3"/>
        <v>-</v>
      </c>
      <c r="F24" s="85">
        <f t="shared" si="4"/>
        <v>1</v>
      </c>
      <c r="G24" s="85">
        <f t="shared" si="5"/>
        <v>1</v>
      </c>
      <c r="H24" s="85">
        <f t="shared" si="6"/>
        <v>1</v>
      </c>
      <c r="I24" s="85">
        <f t="shared" si="7"/>
        <v>1</v>
      </c>
      <c r="J24" s="85">
        <f t="shared" si="8"/>
        <v>1</v>
      </c>
      <c r="K24" s="85" t="str">
        <f t="shared" si="9"/>
        <v>-</v>
      </c>
      <c r="L24" s="85">
        <f t="shared" si="10"/>
        <v>1</v>
      </c>
      <c r="M24" s="85">
        <f t="shared" si="11"/>
        <v>1</v>
      </c>
      <c r="N24" s="85">
        <f t="shared" si="12"/>
        <v>1</v>
      </c>
      <c r="O24" s="85" t="str">
        <f t="shared" si="13"/>
        <v>-</v>
      </c>
      <c r="P24" s="85">
        <f t="shared" si="14"/>
        <v>1</v>
      </c>
      <c r="Q24" s="98">
        <f t="shared" si="15"/>
        <v>1</v>
      </c>
      <c r="S24" s="106"/>
    </row>
    <row r="25" spans="2:19" x14ac:dyDescent="0.35">
      <c r="B25" s="113" t="s">
        <v>35</v>
      </c>
      <c r="C25" s="70" t="str">
        <f t="shared" si="1"/>
        <v>-</v>
      </c>
      <c r="D25" s="85">
        <f t="shared" si="2"/>
        <v>1</v>
      </c>
      <c r="E25" s="85" t="str">
        <f t="shared" si="3"/>
        <v>-</v>
      </c>
      <c r="F25" s="85">
        <f t="shared" si="4"/>
        <v>1</v>
      </c>
      <c r="G25" s="85">
        <f t="shared" si="5"/>
        <v>1</v>
      </c>
      <c r="H25" s="85" t="str">
        <f t="shared" si="6"/>
        <v>-</v>
      </c>
      <c r="I25" s="85">
        <f t="shared" si="7"/>
        <v>1</v>
      </c>
      <c r="J25" s="85" t="str">
        <f t="shared" si="8"/>
        <v>-</v>
      </c>
      <c r="K25" s="85" t="str">
        <f t="shared" si="9"/>
        <v>-</v>
      </c>
      <c r="L25" s="85">
        <f t="shared" si="10"/>
        <v>1</v>
      </c>
      <c r="M25" s="85">
        <f t="shared" si="11"/>
        <v>1</v>
      </c>
      <c r="N25" s="85">
        <f t="shared" si="12"/>
        <v>1</v>
      </c>
      <c r="O25" s="85" t="str">
        <f t="shared" si="13"/>
        <v>-</v>
      </c>
      <c r="P25" s="85" t="str">
        <f t="shared" si="14"/>
        <v>-</v>
      </c>
      <c r="Q25" s="98">
        <f t="shared" si="15"/>
        <v>1</v>
      </c>
      <c r="S25" s="106"/>
    </row>
    <row r="26" spans="2:19" x14ac:dyDescent="0.35">
      <c r="B26" s="112" t="s">
        <v>36</v>
      </c>
      <c r="C26" s="70" t="str">
        <f t="shared" si="1"/>
        <v>-</v>
      </c>
      <c r="D26" s="85">
        <f t="shared" si="2"/>
        <v>1</v>
      </c>
      <c r="E26" s="85" t="str">
        <f t="shared" si="3"/>
        <v>-</v>
      </c>
      <c r="F26" s="85">
        <f t="shared" si="4"/>
        <v>1</v>
      </c>
      <c r="G26" s="85">
        <f t="shared" si="5"/>
        <v>1</v>
      </c>
      <c r="H26" s="85" t="str">
        <f t="shared" si="6"/>
        <v>-</v>
      </c>
      <c r="I26" s="85">
        <f t="shared" si="7"/>
        <v>1</v>
      </c>
      <c r="J26" s="85">
        <f t="shared" si="8"/>
        <v>1</v>
      </c>
      <c r="K26" s="85" t="str">
        <f t="shared" si="9"/>
        <v>-</v>
      </c>
      <c r="L26" s="85">
        <f t="shared" si="10"/>
        <v>1</v>
      </c>
      <c r="M26" s="85" t="str">
        <f t="shared" si="11"/>
        <v>-</v>
      </c>
      <c r="N26" s="85">
        <f t="shared" si="12"/>
        <v>1</v>
      </c>
      <c r="O26" s="85" t="str">
        <f t="shared" si="13"/>
        <v>-</v>
      </c>
      <c r="P26" s="85" t="str">
        <f t="shared" si="14"/>
        <v>-</v>
      </c>
      <c r="Q26" s="98">
        <f t="shared" si="15"/>
        <v>1</v>
      </c>
      <c r="S26" s="106"/>
    </row>
    <row r="27" spans="2:19" x14ac:dyDescent="0.35">
      <c r="B27" s="113" t="s">
        <v>37</v>
      </c>
      <c r="C27" s="70" t="str">
        <f t="shared" si="1"/>
        <v>-</v>
      </c>
      <c r="D27" s="85">
        <f t="shared" si="2"/>
        <v>1</v>
      </c>
      <c r="E27" s="85" t="str">
        <f t="shared" si="3"/>
        <v>-</v>
      </c>
      <c r="F27" s="85">
        <f t="shared" si="4"/>
        <v>1</v>
      </c>
      <c r="G27" s="85">
        <f t="shared" si="5"/>
        <v>1</v>
      </c>
      <c r="H27" s="85" t="str">
        <f t="shared" si="6"/>
        <v>-</v>
      </c>
      <c r="I27" s="85">
        <f t="shared" si="7"/>
        <v>1</v>
      </c>
      <c r="J27" s="85" t="str">
        <f t="shared" si="8"/>
        <v>-</v>
      </c>
      <c r="K27" s="85" t="str">
        <f t="shared" si="9"/>
        <v>-</v>
      </c>
      <c r="L27" s="85">
        <f t="shared" si="10"/>
        <v>1</v>
      </c>
      <c r="M27" s="85">
        <f t="shared" si="11"/>
        <v>1</v>
      </c>
      <c r="N27" s="85" t="str">
        <f t="shared" si="12"/>
        <v>-</v>
      </c>
      <c r="O27" s="85" t="str">
        <f t="shared" si="13"/>
        <v>-</v>
      </c>
      <c r="P27" s="85" t="str">
        <f t="shared" si="14"/>
        <v>-</v>
      </c>
      <c r="Q27" s="98">
        <f t="shared" si="15"/>
        <v>1</v>
      </c>
      <c r="S27" s="106"/>
    </row>
    <row r="28" spans="2:19" ht="15" thickBot="1" x14ac:dyDescent="0.4">
      <c r="B28" s="114" t="s">
        <v>57</v>
      </c>
      <c r="C28" s="73" t="str">
        <f t="shared" si="1"/>
        <v>-</v>
      </c>
      <c r="D28" s="74">
        <f t="shared" si="2"/>
        <v>1</v>
      </c>
      <c r="E28" s="74" t="str">
        <f t="shared" si="3"/>
        <v>-</v>
      </c>
      <c r="F28" s="74">
        <f t="shared" si="4"/>
        <v>1</v>
      </c>
      <c r="G28" s="74">
        <f t="shared" si="5"/>
        <v>1</v>
      </c>
      <c r="H28" s="74">
        <f t="shared" si="6"/>
        <v>1</v>
      </c>
      <c r="I28" s="74">
        <f t="shared" si="7"/>
        <v>1</v>
      </c>
      <c r="J28" s="74" t="str">
        <f t="shared" si="8"/>
        <v>-</v>
      </c>
      <c r="K28" s="74" t="str">
        <f t="shared" si="9"/>
        <v>-</v>
      </c>
      <c r="L28" s="74">
        <f t="shared" si="10"/>
        <v>1</v>
      </c>
      <c r="M28" s="74">
        <f t="shared" si="11"/>
        <v>1</v>
      </c>
      <c r="N28" s="74">
        <f t="shared" si="12"/>
        <v>1</v>
      </c>
      <c r="O28" s="74" t="str">
        <f t="shared" si="13"/>
        <v>-</v>
      </c>
      <c r="P28" s="74">
        <f t="shared" si="14"/>
        <v>1</v>
      </c>
      <c r="Q28" s="100">
        <f t="shared" si="15"/>
        <v>1</v>
      </c>
      <c r="S28" s="106"/>
    </row>
  </sheetData>
  <mergeCells count="1">
    <mergeCell ref="S4:S5"/>
  </mergeCells>
  <conditionalFormatting sqref="A1:XFD3 A4:A16 T4:XFD16 A18:A28 R18:XFD28 B16:F16 H16:S16 A17:XFD17 A29:XFD1048576 B4:S15">
    <cfRule type="cellIs" dxfId="3849" priority="132" operator="equal">
      <formula>"PHI"</formula>
    </cfRule>
    <cfRule type="cellIs" dxfId="3848" priority="133" operator="equal">
      <formula>"GB"</formula>
    </cfRule>
    <cfRule type="cellIs" dxfId="3847" priority="134" operator="equal">
      <formula>"MIN"</formula>
    </cfRule>
    <cfRule type="cellIs" dxfId="3846" priority="135" operator="equal">
      <formula>"NYG"</formula>
    </cfRule>
    <cfRule type="cellIs" dxfId="3845" priority="136" operator="equal">
      <formula>"PIT"</formula>
    </cfRule>
    <cfRule type="cellIs" dxfId="3844" priority="137" operator="equal">
      <formula>"KC"</formula>
    </cfRule>
    <cfRule type="cellIs" dxfId="3843" priority="138" operator="equal">
      <formula>"ARI"</formula>
    </cfRule>
    <cfRule type="cellIs" dxfId="3842" priority="139" operator="equal">
      <formula>"LA"</formula>
    </cfRule>
    <cfRule type="cellIs" dxfId="3841" priority="140" operator="equal">
      <formula>"SD"</formula>
    </cfRule>
    <cfRule type="cellIs" dxfId="3840" priority="141" operator="equal">
      <formula>"NO"</formula>
    </cfRule>
    <cfRule type="cellIs" dxfId="3839" priority="142" operator="equal">
      <formula>"SF"</formula>
    </cfRule>
    <cfRule type="cellIs" dxfId="3838" priority="143" operator="equal">
      <formula>"DAL"</formula>
    </cfRule>
    <cfRule type="cellIs" dxfId="3837" priority="144" operator="equal">
      <formula>"TB"</formula>
    </cfRule>
    <cfRule type="cellIs" dxfId="3836" priority="145" operator="equal">
      <formula>"DEN"</formula>
    </cfRule>
    <cfRule type="cellIs" dxfId="3835" priority="146" operator="equal">
      <formula>"BAL"</formula>
    </cfRule>
    <cfRule type="cellIs" dxfId="3834" priority="147" operator="equal">
      <formula>"OAK"</formula>
    </cfRule>
    <cfRule type="cellIs" dxfId="3833" priority="148" operator="equal">
      <formula>"HOU"</formula>
    </cfRule>
    <cfRule type="cellIs" dxfId="3832" priority="149" operator="equal">
      <formula>"TEN"</formula>
    </cfRule>
    <cfRule type="cellIs" dxfId="3831" priority="150" operator="equal">
      <formula>"CHI"</formula>
    </cfRule>
    <cfRule type="cellIs" dxfId="3830" priority="151" operator="equal">
      <formula>"DET"</formula>
    </cfRule>
    <cfRule type="cellIs" dxfId="3829" priority="152" operator="equal">
      <formula>"ATL"</formula>
    </cfRule>
    <cfRule type="cellIs" dxfId="3828" priority="153" operator="equal">
      <formula>"CAR"</formula>
    </cfRule>
    <cfRule type="cellIs" dxfId="3827" priority="154" operator="equal">
      <formula>"IND"</formula>
    </cfRule>
    <cfRule type="cellIs" dxfId="3826" priority="155" operator="equal">
      <formula>"JAX"</formula>
    </cfRule>
    <cfRule type="cellIs" dxfId="3825" priority="156" operator="equal">
      <formula>"NYJ"</formula>
    </cfRule>
    <cfRule type="cellIs" dxfId="3824" priority="157" operator="equal">
      <formula>"SEA"</formula>
    </cfRule>
    <cfRule type="cellIs" dxfId="3823" priority="158" operator="equal">
      <formula>"NE"</formula>
    </cfRule>
    <cfRule type="cellIs" dxfId="3822" priority="159" operator="equal">
      <formula>"BUF"</formula>
    </cfRule>
    <cfRule type="cellIs" dxfId="3821" priority="160" operator="equal">
      <formula>"WAS"</formula>
    </cfRule>
    <cfRule type="cellIs" dxfId="3820" priority="161" operator="equal">
      <formula>"CLE"</formula>
    </cfRule>
    <cfRule type="cellIs" dxfId="3819" priority="162" operator="equal">
      <formula>"CIN"</formula>
    </cfRule>
    <cfRule type="cellIs" dxfId="3818" priority="163" operator="equal">
      <formula>"MIA"</formula>
    </cfRule>
  </conditionalFormatting>
  <conditionalFormatting sqref="B18:P28 Q20:Q28">
    <cfRule type="cellIs" dxfId="3817" priority="35" operator="equal">
      <formula>"PHI"</formula>
    </cfRule>
    <cfRule type="cellIs" dxfId="3816" priority="36" operator="equal">
      <formula>"GB"</formula>
    </cfRule>
    <cfRule type="cellIs" dxfId="3815" priority="37" operator="equal">
      <formula>"MIN"</formula>
    </cfRule>
    <cfRule type="cellIs" dxfId="3814" priority="38" operator="equal">
      <formula>"NYG"</formula>
    </cfRule>
    <cfRule type="cellIs" dxfId="3813" priority="39" operator="equal">
      <formula>"PIT"</formula>
    </cfRule>
    <cfRule type="cellIs" dxfId="3812" priority="40" operator="equal">
      <formula>"KC"</formula>
    </cfRule>
    <cfRule type="cellIs" dxfId="3811" priority="41" operator="equal">
      <formula>"ARI"</formula>
    </cfRule>
    <cfRule type="cellIs" dxfId="3810" priority="42" operator="equal">
      <formula>"LA"</formula>
    </cfRule>
    <cfRule type="cellIs" dxfId="3809" priority="43" operator="equal">
      <formula>"SD"</formula>
    </cfRule>
    <cfRule type="cellIs" dxfId="3808" priority="44" operator="equal">
      <formula>"NO"</formula>
    </cfRule>
    <cfRule type="cellIs" dxfId="3807" priority="45" operator="equal">
      <formula>"SF"</formula>
    </cfRule>
    <cfRule type="cellIs" dxfId="3806" priority="46" operator="equal">
      <formula>"DAL"</formula>
    </cfRule>
    <cfRule type="cellIs" dxfId="3805" priority="47" operator="equal">
      <formula>"TB"</formula>
    </cfRule>
    <cfRule type="cellIs" dxfId="3804" priority="48" operator="equal">
      <formula>"DEN"</formula>
    </cfRule>
    <cfRule type="cellIs" dxfId="3803" priority="49" operator="equal">
      <formula>"BAL"</formula>
    </cfRule>
    <cfRule type="cellIs" dxfId="3802" priority="50" operator="equal">
      <formula>"OAK"</formula>
    </cfRule>
    <cfRule type="cellIs" dxfId="3801" priority="51" operator="equal">
      <formula>"HOU"</formula>
    </cfRule>
    <cfRule type="cellIs" dxfId="3800" priority="52" operator="equal">
      <formula>"TEN"</formula>
    </cfRule>
    <cfRule type="cellIs" dxfId="3799" priority="53" operator="equal">
      <formula>"CHI"</formula>
    </cfRule>
    <cfRule type="cellIs" dxfId="3798" priority="54" operator="equal">
      <formula>"DET"</formula>
    </cfRule>
    <cfRule type="cellIs" dxfId="3797" priority="55" operator="equal">
      <formula>"ATL"</formula>
    </cfRule>
    <cfRule type="cellIs" dxfId="3796" priority="56" operator="equal">
      <formula>"CAR"</formula>
    </cfRule>
    <cfRule type="cellIs" dxfId="3795" priority="57" operator="equal">
      <formula>"IND"</formula>
    </cfRule>
    <cfRule type="cellIs" dxfId="3794" priority="58" operator="equal">
      <formula>"JAX"</formula>
    </cfRule>
    <cfRule type="cellIs" dxfId="3793" priority="59" operator="equal">
      <formula>"NYJ"</formula>
    </cfRule>
    <cfRule type="cellIs" dxfId="3792" priority="60" operator="equal">
      <formula>"SEA"</formula>
    </cfRule>
    <cfRule type="cellIs" dxfId="3791" priority="61" operator="equal">
      <formula>"NE"</formula>
    </cfRule>
    <cfRule type="cellIs" dxfId="3790" priority="62" operator="equal">
      <formula>"BUF"</formula>
    </cfRule>
    <cfRule type="cellIs" dxfId="3789" priority="63" operator="equal">
      <formula>"WAS"</formula>
    </cfRule>
    <cfRule type="cellIs" dxfId="3788" priority="64" operator="equal">
      <formula>"CLE"</formula>
    </cfRule>
    <cfRule type="cellIs" dxfId="3787" priority="65" operator="equal">
      <formula>"CIN"</formula>
    </cfRule>
    <cfRule type="cellIs" dxfId="3786" priority="66" operator="equal">
      <formula>"MIA"</formula>
    </cfRule>
  </conditionalFormatting>
  <conditionalFormatting sqref="C20:Q28">
    <cfRule type="colorScale" priority="34">
      <colorScale>
        <cfvo type="min"/>
        <cfvo type="max"/>
        <color rgb="FFFCFCFF"/>
        <color rgb="FF63BE7B"/>
      </colorScale>
    </cfRule>
  </conditionalFormatting>
  <conditionalFormatting sqref="Q18:Q19">
    <cfRule type="cellIs" dxfId="3785" priority="2" operator="equal">
      <formula>"PHI"</formula>
    </cfRule>
    <cfRule type="cellIs" dxfId="3784" priority="3" operator="equal">
      <formula>"GB"</formula>
    </cfRule>
    <cfRule type="cellIs" dxfId="3783" priority="4" operator="equal">
      <formula>"MIN"</formula>
    </cfRule>
    <cfRule type="cellIs" dxfId="3782" priority="5" operator="equal">
      <formula>"NYG"</formula>
    </cfRule>
    <cfRule type="cellIs" dxfId="3781" priority="6" operator="equal">
      <formula>"PIT"</formula>
    </cfRule>
    <cfRule type="cellIs" dxfId="3780" priority="7" operator="equal">
      <formula>"KC"</formula>
    </cfRule>
    <cfRule type="cellIs" dxfId="3779" priority="8" operator="equal">
      <formula>"ARI"</formula>
    </cfRule>
    <cfRule type="cellIs" dxfId="3778" priority="9" operator="equal">
      <formula>"LA"</formula>
    </cfRule>
    <cfRule type="cellIs" dxfId="3777" priority="10" operator="equal">
      <formula>"SD"</formula>
    </cfRule>
    <cfRule type="cellIs" dxfId="3776" priority="11" operator="equal">
      <formula>"NO"</formula>
    </cfRule>
    <cfRule type="cellIs" dxfId="3775" priority="12" operator="equal">
      <formula>"SF"</formula>
    </cfRule>
    <cfRule type="cellIs" dxfId="3774" priority="13" operator="equal">
      <formula>"DAL"</formula>
    </cfRule>
    <cfRule type="cellIs" dxfId="3773" priority="14" operator="equal">
      <formula>"TB"</formula>
    </cfRule>
    <cfRule type="cellIs" dxfId="3772" priority="15" operator="equal">
      <formula>"DEN"</formula>
    </cfRule>
    <cfRule type="cellIs" dxfId="3771" priority="16" operator="equal">
      <formula>"BAL"</formula>
    </cfRule>
    <cfRule type="cellIs" dxfId="3770" priority="17" operator="equal">
      <formula>"OAK"</formula>
    </cfRule>
    <cfRule type="cellIs" dxfId="3769" priority="18" operator="equal">
      <formula>"HOU"</formula>
    </cfRule>
    <cfRule type="cellIs" dxfId="3768" priority="19" operator="equal">
      <formula>"TEN"</formula>
    </cfRule>
    <cfRule type="cellIs" dxfId="3767" priority="20" operator="equal">
      <formula>"CHI"</formula>
    </cfRule>
    <cfRule type="cellIs" dxfId="3766" priority="21" operator="equal">
      <formula>"DET"</formula>
    </cfRule>
    <cfRule type="cellIs" dxfId="3765" priority="22" operator="equal">
      <formula>"ATL"</formula>
    </cfRule>
    <cfRule type="cellIs" dxfId="3764" priority="23" operator="equal">
      <formula>"CAR"</formula>
    </cfRule>
    <cfRule type="cellIs" dxfId="3763" priority="24" operator="equal">
      <formula>"IND"</formula>
    </cfRule>
    <cfRule type="cellIs" dxfId="3762" priority="25" operator="equal">
      <formula>"JAX"</formula>
    </cfRule>
    <cfRule type="cellIs" dxfId="3761" priority="26" operator="equal">
      <formula>"NYJ"</formula>
    </cfRule>
    <cfRule type="cellIs" dxfId="3760" priority="27" operator="equal">
      <formula>"SEA"</formula>
    </cfRule>
    <cfRule type="cellIs" dxfId="3759" priority="28" operator="equal">
      <formula>"NE"</formula>
    </cfRule>
    <cfRule type="cellIs" dxfId="3758" priority="29" operator="equal">
      <formula>"BUF"</formula>
    </cfRule>
    <cfRule type="cellIs" dxfId="3757" priority="30" operator="equal">
      <formula>"WAS"</formula>
    </cfRule>
    <cfRule type="cellIs" dxfId="3756" priority="31" operator="equal">
      <formula>"CLE"</formula>
    </cfRule>
    <cfRule type="cellIs" dxfId="3755" priority="32" operator="equal">
      <formula>"CIN"</formula>
    </cfRule>
    <cfRule type="cellIs" dxfId="3754" priority="33" operator="equal">
      <formula>"MIA"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9"/>
  <sheetViews>
    <sheetView zoomScaleNormal="100" workbookViewId="0"/>
  </sheetViews>
  <sheetFormatPr defaultRowHeight="14.5" x14ac:dyDescent="0.35"/>
  <cols>
    <col min="1" max="1" width="8.7265625" style="41"/>
    <col min="2" max="2" width="10.90625" style="41" bestFit="1" customWidth="1"/>
    <col min="3" max="3" width="7.90625" style="41" bestFit="1" customWidth="1"/>
    <col min="4" max="4" width="8.1796875" style="41" bestFit="1" customWidth="1"/>
    <col min="5" max="5" width="7.453125" style="41" bestFit="1" customWidth="1"/>
    <col min="6" max="6" width="9" style="41" bestFit="1" customWidth="1"/>
    <col min="7" max="7" width="9.08984375" style="41" bestFit="1" customWidth="1"/>
    <col min="8" max="8" width="8.453125" style="41" bestFit="1" customWidth="1"/>
    <col min="9" max="9" width="9.81640625" style="41" bestFit="1" customWidth="1"/>
    <col min="10" max="10" width="9.1796875" style="41" bestFit="1" customWidth="1"/>
    <col min="11" max="11" width="9.36328125" style="41" bestFit="1" customWidth="1"/>
    <col min="12" max="12" width="8.6328125" style="41" bestFit="1" customWidth="1"/>
    <col min="13" max="13" width="6.54296875" style="41" bestFit="1" customWidth="1"/>
    <col min="14" max="14" width="7.81640625" style="41" bestFit="1" customWidth="1"/>
    <col min="15" max="15" width="7.54296875" style="41" bestFit="1" customWidth="1"/>
    <col min="16" max="16" width="8.54296875" style="41" bestFit="1" customWidth="1"/>
    <col min="17" max="17" width="10.08984375" style="41" bestFit="1" customWidth="1"/>
    <col min="18" max="18" width="9.08984375" style="41" hidden="1" customWidth="1"/>
    <col min="19" max="16384" width="8.7265625" style="41"/>
  </cols>
  <sheetData>
    <row r="1" spans="1:19" x14ac:dyDescent="0.35">
      <c r="A1" s="41" t="s">
        <v>371</v>
      </c>
    </row>
    <row r="3" spans="1:19" ht="15" thickBot="1" x14ac:dyDescent="0.4">
      <c r="D3" s="69" t="s">
        <v>147</v>
      </c>
    </row>
    <row r="4" spans="1:19" ht="15.5" customHeight="1" thickTop="1" thickBot="1" x14ac:dyDescent="0.4">
      <c r="B4" s="54" t="s">
        <v>0</v>
      </c>
      <c r="C4" s="41" t="s">
        <v>206</v>
      </c>
      <c r="D4" s="41" t="s">
        <v>207</v>
      </c>
      <c r="E4" s="41" t="s">
        <v>208</v>
      </c>
      <c r="F4" s="41" t="s">
        <v>209</v>
      </c>
      <c r="G4" s="41" t="s">
        <v>210</v>
      </c>
      <c r="H4" s="41" t="s">
        <v>211</v>
      </c>
      <c r="I4" s="41" t="s">
        <v>212</v>
      </c>
      <c r="J4" s="41" t="s">
        <v>213</v>
      </c>
      <c r="K4" s="41" t="s">
        <v>214</v>
      </c>
      <c r="L4" s="41" t="s">
        <v>215</v>
      </c>
      <c r="M4" s="41" t="s">
        <v>216</v>
      </c>
      <c r="N4" s="41" t="s">
        <v>217</v>
      </c>
      <c r="O4" s="41" t="s">
        <v>218</v>
      </c>
      <c r="P4" s="41" t="s">
        <v>219</v>
      </c>
      <c r="Q4" s="41" t="s">
        <v>220</v>
      </c>
      <c r="R4" s="82" t="s">
        <v>161</v>
      </c>
      <c r="S4" s="406" t="s">
        <v>92</v>
      </c>
    </row>
    <row r="5" spans="1:19" ht="15.5" thickTop="1" thickBot="1" x14ac:dyDescent="0.4">
      <c r="B5" s="26" t="s">
        <v>1</v>
      </c>
      <c r="C5" s="8" t="s">
        <v>164</v>
      </c>
      <c r="D5" s="8" t="s">
        <v>28</v>
      </c>
      <c r="E5" s="8" t="s">
        <v>142</v>
      </c>
      <c r="F5" s="8" t="s">
        <v>111</v>
      </c>
      <c r="G5" s="8" t="s">
        <v>19</v>
      </c>
      <c r="H5" s="8" t="s">
        <v>26</v>
      </c>
      <c r="I5" s="8" t="s">
        <v>27</v>
      </c>
      <c r="J5" s="8" t="s">
        <v>22</v>
      </c>
      <c r="K5" s="8" t="s">
        <v>28</v>
      </c>
      <c r="L5" s="115" t="s">
        <v>140</v>
      </c>
      <c r="M5" s="8" t="s">
        <v>369</v>
      </c>
      <c r="N5" s="8" t="s">
        <v>21</v>
      </c>
      <c r="O5" s="8" t="s">
        <v>370</v>
      </c>
      <c r="P5" s="8" t="s">
        <v>22</v>
      </c>
      <c r="Q5" s="8" t="s">
        <v>142</v>
      </c>
      <c r="R5" s="27"/>
      <c r="S5" s="407"/>
    </row>
    <row r="6" spans="1:19" ht="15" thickTop="1" x14ac:dyDescent="0.35">
      <c r="A6" s="120"/>
      <c r="B6" s="78" t="s">
        <v>3</v>
      </c>
      <c r="C6" s="82" t="s">
        <v>64</v>
      </c>
      <c r="D6" s="82" t="s">
        <v>68</v>
      </c>
      <c r="E6" s="82" t="s">
        <v>60</v>
      </c>
      <c r="F6" s="82" t="s">
        <v>120</v>
      </c>
      <c r="G6" s="82" t="s">
        <v>87</v>
      </c>
      <c r="H6" s="82" t="s">
        <v>62</v>
      </c>
      <c r="I6" s="82" t="s">
        <v>117</v>
      </c>
      <c r="J6" s="82" t="s">
        <v>74</v>
      </c>
      <c r="K6" s="82" t="s">
        <v>65</v>
      </c>
      <c r="L6" s="82" t="s">
        <v>91</v>
      </c>
      <c r="M6" s="82" t="s">
        <v>73</v>
      </c>
      <c r="N6" s="82" t="s">
        <v>58</v>
      </c>
      <c r="O6" s="82" t="s">
        <v>89</v>
      </c>
      <c r="P6" s="82" t="s">
        <v>118</v>
      </c>
      <c r="Q6" s="82" t="s">
        <v>34</v>
      </c>
      <c r="R6" s="46"/>
      <c r="S6" s="196">
        <f>SUM(C20:R20)</f>
        <v>9</v>
      </c>
    </row>
    <row r="7" spans="1:19" x14ac:dyDescent="0.35">
      <c r="B7" s="78" t="s">
        <v>29</v>
      </c>
      <c r="C7" s="128" t="s">
        <v>64</v>
      </c>
      <c r="D7" s="128" t="s">
        <v>77</v>
      </c>
      <c r="E7" s="128" t="s">
        <v>60</v>
      </c>
      <c r="F7" s="128" t="s">
        <v>120</v>
      </c>
      <c r="G7" s="128" t="s">
        <v>87</v>
      </c>
      <c r="H7" s="128" t="s">
        <v>62</v>
      </c>
      <c r="I7" s="128" t="s">
        <v>117</v>
      </c>
      <c r="J7" s="128" t="s">
        <v>74</v>
      </c>
      <c r="K7" s="128" t="s">
        <v>65</v>
      </c>
      <c r="L7" s="128" t="s">
        <v>91</v>
      </c>
      <c r="M7" s="128" t="s">
        <v>73</v>
      </c>
      <c r="N7" s="128" t="s">
        <v>58</v>
      </c>
      <c r="O7" s="128" t="s">
        <v>89</v>
      </c>
      <c r="P7" s="128" t="s">
        <v>67</v>
      </c>
      <c r="Q7" s="128" t="s">
        <v>34</v>
      </c>
      <c r="R7" s="45"/>
      <c r="S7" s="197">
        <f t="shared" ref="S7:S14" si="0">SUM(C21:R21)</f>
        <v>8</v>
      </c>
    </row>
    <row r="8" spans="1:19" x14ac:dyDescent="0.35">
      <c r="B8" s="78" t="s">
        <v>30</v>
      </c>
      <c r="C8" s="117" t="s">
        <v>64</v>
      </c>
      <c r="D8" s="117" t="s">
        <v>68</v>
      </c>
      <c r="E8" s="117" t="s">
        <v>60</v>
      </c>
      <c r="F8" s="117" t="s">
        <v>120</v>
      </c>
      <c r="G8" s="117" t="s">
        <v>87</v>
      </c>
      <c r="H8" s="117" t="s">
        <v>62</v>
      </c>
      <c r="I8" s="117" t="s">
        <v>117</v>
      </c>
      <c r="J8" s="117" t="s">
        <v>74</v>
      </c>
      <c r="K8" s="117" t="s">
        <v>65</v>
      </c>
      <c r="L8" s="117" t="s">
        <v>91</v>
      </c>
      <c r="M8" s="117" t="s">
        <v>73</v>
      </c>
      <c r="N8" s="117" t="s">
        <v>58</v>
      </c>
      <c r="O8" s="117" t="s">
        <v>89</v>
      </c>
      <c r="P8" s="117" t="s">
        <v>67</v>
      </c>
      <c r="Q8" s="117" t="s">
        <v>34</v>
      </c>
      <c r="R8" s="83"/>
      <c r="S8" s="196">
        <f t="shared" si="0"/>
        <v>9</v>
      </c>
    </row>
    <row r="9" spans="1:19" x14ac:dyDescent="0.35">
      <c r="B9" s="78" t="s">
        <v>31</v>
      </c>
      <c r="C9" s="116" t="s">
        <v>64</v>
      </c>
      <c r="D9" s="116" t="s">
        <v>68</v>
      </c>
      <c r="E9" s="116" t="s">
        <v>60</v>
      </c>
      <c r="F9" s="116" t="s">
        <v>120</v>
      </c>
      <c r="G9" s="116" t="s">
        <v>87</v>
      </c>
      <c r="H9" s="116" t="s">
        <v>63</v>
      </c>
      <c r="I9" s="116" t="s">
        <v>117</v>
      </c>
      <c r="J9" s="116" t="s">
        <v>122</v>
      </c>
      <c r="K9" s="116" t="s">
        <v>65</v>
      </c>
      <c r="L9" s="116" t="s">
        <v>79</v>
      </c>
      <c r="M9" s="116" t="s">
        <v>73</v>
      </c>
      <c r="N9" s="116" t="s">
        <v>119</v>
      </c>
      <c r="O9" s="116" t="s">
        <v>76</v>
      </c>
      <c r="P9" s="116" t="s">
        <v>118</v>
      </c>
      <c r="Q9" s="116" t="s">
        <v>66</v>
      </c>
      <c r="R9" s="83"/>
      <c r="S9" s="197">
        <f t="shared" si="0"/>
        <v>7</v>
      </c>
    </row>
    <row r="10" spans="1:19" x14ac:dyDescent="0.35">
      <c r="B10" s="78" t="s">
        <v>32</v>
      </c>
      <c r="C10" s="125" t="s">
        <v>64</v>
      </c>
      <c r="D10" s="125" t="s">
        <v>68</v>
      </c>
      <c r="E10" s="125" t="s">
        <v>60</v>
      </c>
      <c r="F10" s="125" t="s">
        <v>120</v>
      </c>
      <c r="G10" s="125" t="s">
        <v>75</v>
      </c>
      <c r="H10" s="125" t="s">
        <v>62</v>
      </c>
      <c r="I10" s="125" t="s">
        <v>117</v>
      </c>
      <c r="J10" s="125" t="s">
        <v>74</v>
      </c>
      <c r="K10" s="125" t="s">
        <v>65</v>
      </c>
      <c r="L10" s="125" t="s">
        <v>91</v>
      </c>
      <c r="M10" s="125" t="s">
        <v>73</v>
      </c>
      <c r="N10" s="125" t="s">
        <v>58</v>
      </c>
      <c r="O10" s="125" t="s">
        <v>89</v>
      </c>
      <c r="P10" s="125" t="s">
        <v>67</v>
      </c>
      <c r="Q10" s="125" t="s">
        <v>34</v>
      </c>
      <c r="R10" s="83"/>
      <c r="S10" s="196">
        <f t="shared" si="0"/>
        <v>10</v>
      </c>
    </row>
    <row r="11" spans="1:19" x14ac:dyDescent="0.35">
      <c r="B11" s="78" t="s">
        <v>35</v>
      </c>
      <c r="C11" s="127" t="s">
        <v>64</v>
      </c>
      <c r="D11" s="127" t="s">
        <v>68</v>
      </c>
      <c r="E11" s="127" t="s">
        <v>60</v>
      </c>
      <c r="F11" s="127" t="s">
        <v>69</v>
      </c>
      <c r="G11" s="127" t="s">
        <v>87</v>
      </c>
      <c r="H11" s="127" t="s">
        <v>62</v>
      </c>
      <c r="I11" s="127" t="s">
        <v>71</v>
      </c>
      <c r="J11" s="127" t="s">
        <v>74</v>
      </c>
      <c r="K11" s="127" t="s">
        <v>65</v>
      </c>
      <c r="L11" s="127" t="s">
        <v>91</v>
      </c>
      <c r="M11" s="127" t="s">
        <v>73</v>
      </c>
      <c r="N11" s="127" t="s">
        <v>58</v>
      </c>
      <c r="O11" s="127" t="s">
        <v>89</v>
      </c>
      <c r="P11" s="127" t="s">
        <v>67</v>
      </c>
      <c r="Q11" s="127" t="s">
        <v>34</v>
      </c>
      <c r="R11" s="83"/>
      <c r="S11" s="197">
        <f t="shared" si="0"/>
        <v>9</v>
      </c>
    </row>
    <row r="12" spans="1:19" x14ac:dyDescent="0.35">
      <c r="B12" s="29" t="s">
        <v>36</v>
      </c>
      <c r="C12" s="121" t="s">
        <v>64</v>
      </c>
      <c r="D12" s="121" t="s">
        <v>68</v>
      </c>
      <c r="E12" s="121" t="s">
        <v>60</v>
      </c>
      <c r="F12" s="121" t="s">
        <v>120</v>
      </c>
      <c r="G12" s="121" t="s">
        <v>87</v>
      </c>
      <c r="H12" s="121" t="s">
        <v>62</v>
      </c>
      <c r="I12" s="121" t="s">
        <v>117</v>
      </c>
      <c r="J12" s="121" t="s">
        <v>74</v>
      </c>
      <c r="K12" s="121" t="s">
        <v>65</v>
      </c>
      <c r="L12" s="121" t="s">
        <v>91</v>
      </c>
      <c r="M12" s="121" t="s">
        <v>73</v>
      </c>
      <c r="N12" s="121" t="s">
        <v>58</v>
      </c>
      <c r="O12" s="121" t="s">
        <v>89</v>
      </c>
      <c r="P12" s="121" t="s">
        <v>118</v>
      </c>
      <c r="Q12" s="121" t="s">
        <v>34</v>
      </c>
      <c r="R12" s="83"/>
      <c r="S12" s="196">
        <f t="shared" si="0"/>
        <v>9</v>
      </c>
    </row>
    <row r="13" spans="1:19" x14ac:dyDescent="0.35">
      <c r="B13" s="29" t="s">
        <v>37</v>
      </c>
      <c r="C13" s="82" t="s">
        <v>64</v>
      </c>
      <c r="D13" s="82" t="s">
        <v>68</v>
      </c>
      <c r="E13" s="82" t="s">
        <v>60</v>
      </c>
      <c r="F13" s="82" t="s">
        <v>120</v>
      </c>
      <c r="G13" s="82" t="s">
        <v>87</v>
      </c>
      <c r="H13" s="82" t="s">
        <v>62</v>
      </c>
      <c r="I13" s="82" t="s">
        <v>71</v>
      </c>
      <c r="J13" s="82" t="s">
        <v>74</v>
      </c>
      <c r="K13" s="82" t="s">
        <v>65</v>
      </c>
      <c r="L13" s="82" t="s">
        <v>91</v>
      </c>
      <c r="M13" s="82" t="s">
        <v>73</v>
      </c>
      <c r="N13" s="82" t="s">
        <v>58</v>
      </c>
      <c r="O13" s="82" t="s">
        <v>89</v>
      </c>
      <c r="P13" s="82" t="s">
        <v>118</v>
      </c>
      <c r="Q13" s="82" t="s">
        <v>34</v>
      </c>
      <c r="R13" s="81"/>
      <c r="S13" s="197">
        <f t="shared" si="0"/>
        <v>8</v>
      </c>
    </row>
    <row r="14" spans="1:19" ht="15" thickBot="1" x14ac:dyDescent="0.4">
      <c r="B14" s="53" t="s">
        <v>57</v>
      </c>
      <c r="C14" s="126" t="s">
        <v>64</v>
      </c>
      <c r="D14" s="126" t="s">
        <v>77</v>
      </c>
      <c r="E14" s="126" t="s">
        <v>60</v>
      </c>
      <c r="F14" s="126" t="s">
        <v>120</v>
      </c>
      <c r="G14" s="126" t="s">
        <v>75</v>
      </c>
      <c r="H14" s="126" t="s">
        <v>62</v>
      </c>
      <c r="I14" s="126" t="s">
        <v>71</v>
      </c>
      <c r="J14" s="126" t="s">
        <v>74</v>
      </c>
      <c r="K14" s="126" t="s">
        <v>65</v>
      </c>
      <c r="L14" s="126" t="s">
        <v>79</v>
      </c>
      <c r="M14" s="126" t="s">
        <v>73</v>
      </c>
      <c r="N14" s="126" t="s">
        <v>58</v>
      </c>
      <c r="O14" s="126" t="s">
        <v>89</v>
      </c>
      <c r="P14" s="126" t="s">
        <v>118</v>
      </c>
      <c r="Q14" s="126" t="s">
        <v>34</v>
      </c>
      <c r="R14" s="81"/>
      <c r="S14" s="227">
        <f t="shared" si="0"/>
        <v>9</v>
      </c>
    </row>
    <row r="15" spans="1:19" ht="15.5" thickTop="1" thickBot="1" x14ac:dyDescent="0.4">
      <c r="B15" s="78" t="s">
        <v>183</v>
      </c>
      <c r="C15" s="60" t="s">
        <v>33</v>
      </c>
      <c r="D15" s="61" t="s">
        <v>90</v>
      </c>
      <c r="E15" s="61"/>
      <c r="F15" s="61"/>
      <c r="G15" s="61"/>
      <c r="H15" s="61"/>
      <c r="I15" s="61"/>
      <c r="J15" s="61"/>
      <c r="K15" s="62"/>
      <c r="L15" s="62"/>
      <c r="M15" s="62"/>
      <c r="N15" s="62"/>
      <c r="O15" s="62"/>
      <c r="P15" s="89"/>
      <c r="Q15" s="88"/>
      <c r="R15" s="52"/>
    </row>
    <row r="16" spans="1:19" ht="15" thickTop="1" x14ac:dyDescent="0.35"/>
    <row r="18" spans="2:17" ht="15.5" thickTop="1" thickBot="1" x14ac:dyDescent="0.4">
      <c r="B18" s="54" t="s">
        <v>0</v>
      </c>
      <c r="C18" s="86" t="s">
        <v>206</v>
      </c>
      <c r="D18" s="86" t="s">
        <v>207</v>
      </c>
      <c r="E18" s="86" t="s">
        <v>208</v>
      </c>
      <c r="F18" s="86" t="s">
        <v>209</v>
      </c>
      <c r="G18" s="86" t="s">
        <v>210</v>
      </c>
      <c r="H18" s="86" t="s">
        <v>211</v>
      </c>
      <c r="I18" s="86" t="s">
        <v>212</v>
      </c>
      <c r="J18" s="86" t="s">
        <v>213</v>
      </c>
      <c r="K18" s="86" t="s">
        <v>214</v>
      </c>
      <c r="L18" s="86" t="s">
        <v>215</v>
      </c>
      <c r="M18" s="86" t="s">
        <v>216</v>
      </c>
      <c r="N18" s="86" t="s">
        <v>217</v>
      </c>
      <c r="O18" s="86" t="s">
        <v>218</v>
      </c>
      <c r="P18" s="86" t="s">
        <v>219</v>
      </c>
      <c r="Q18" s="56" t="s">
        <v>220</v>
      </c>
    </row>
    <row r="19" spans="2:17" ht="15.5" thickTop="1" thickBot="1" x14ac:dyDescent="0.4">
      <c r="B19" s="49" t="s">
        <v>1</v>
      </c>
      <c r="C19" s="137" t="s">
        <v>164</v>
      </c>
      <c r="D19" s="94" t="s">
        <v>28</v>
      </c>
      <c r="E19" s="94" t="s">
        <v>142</v>
      </c>
      <c r="F19" s="94" t="s">
        <v>111</v>
      </c>
      <c r="G19" s="94" t="s">
        <v>19</v>
      </c>
      <c r="H19" s="94" t="s">
        <v>26</v>
      </c>
      <c r="I19" s="94" t="s">
        <v>27</v>
      </c>
      <c r="J19" s="94" t="s">
        <v>22</v>
      </c>
      <c r="K19" s="94" t="s">
        <v>28</v>
      </c>
      <c r="L19" s="138" t="s">
        <v>140</v>
      </c>
      <c r="M19" s="94" t="s">
        <v>369</v>
      </c>
      <c r="N19" s="94" t="s">
        <v>21</v>
      </c>
      <c r="O19" s="94" t="s">
        <v>370</v>
      </c>
      <c r="P19" s="94" t="s">
        <v>22</v>
      </c>
      <c r="Q19" s="101" t="s">
        <v>142</v>
      </c>
    </row>
    <row r="20" spans="2:17" ht="15" thickTop="1" x14ac:dyDescent="0.35">
      <c r="B20" s="136" t="s">
        <v>3</v>
      </c>
      <c r="C20" s="95">
        <f>IF(C6="GB",1,"-")</f>
        <v>1</v>
      </c>
      <c r="D20" s="119">
        <f>IF(D6="NYG",1,"-")</f>
        <v>1</v>
      </c>
      <c r="E20" s="119">
        <f>IF(E6="KC",1,"-")</f>
        <v>1</v>
      </c>
      <c r="F20" s="119" t="str">
        <f>IF(F6="IND",1,"-")</f>
        <v>-</v>
      </c>
      <c r="G20" s="119" t="str">
        <f>IF(G6="PHI",1,"-")</f>
        <v>-</v>
      </c>
      <c r="H20" s="119">
        <f>IF(H6="Cin",1,"-")</f>
        <v>1</v>
      </c>
      <c r="I20" s="119">
        <f>IF(I6="det",1,"-")</f>
        <v>1</v>
      </c>
      <c r="J20" s="119">
        <f>IF(J6="oak",1,"-")</f>
        <v>1</v>
      </c>
      <c r="K20" s="119" t="str">
        <f>IF(K6="mia",1,"-")</f>
        <v>-</v>
      </c>
      <c r="L20" s="119" t="str">
        <f t="shared" ref="L20:L28" si="1">IF(L6="NYJ",1,"-")</f>
        <v>-</v>
      </c>
      <c r="M20" s="119">
        <f>IF(M6="tb",1,"-")</f>
        <v>1</v>
      </c>
      <c r="N20" s="119" t="str">
        <f>IF(N6="sd",1,"-")</f>
        <v>-</v>
      </c>
      <c r="O20" s="119">
        <f>IF(O6="ne",1,"-")</f>
        <v>1</v>
      </c>
      <c r="P20" s="119" t="str">
        <f>IF(P6="tie",1,"-")</f>
        <v>-</v>
      </c>
      <c r="Q20" s="96">
        <f>IF(Q6="den",1,"-")</f>
        <v>1</v>
      </c>
    </row>
    <row r="21" spans="2:17" x14ac:dyDescent="0.35">
      <c r="B21" s="104" t="s">
        <v>29</v>
      </c>
      <c r="C21" s="97">
        <f t="shared" ref="C21:C28" si="2">IF(C7="GB",1,"-")</f>
        <v>1</v>
      </c>
      <c r="D21" s="118" t="str">
        <f t="shared" ref="D21:D28" si="3">IF(D7="NYG",1,"-")</f>
        <v>-</v>
      </c>
      <c r="E21" s="118">
        <f t="shared" ref="E21:E28" si="4">IF(E7="KC",1,"-")</f>
        <v>1</v>
      </c>
      <c r="F21" s="118" t="str">
        <f t="shared" ref="F21:F28" si="5">IF(F7="IND",1,"-")</f>
        <v>-</v>
      </c>
      <c r="G21" s="118" t="str">
        <f t="shared" ref="G21:G28" si="6">IF(G7="PHI",1,"-")</f>
        <v>-</v>
      </c>
      <c r="H21" s="118">
        <f t="shared" ref="H21:H28" si="7">IF(H7="Cin",1,"-")</f>
        <v>1</v>
      </c>
      <c r="I21" s="118">
        <f t="shared" ref="I21:I28" si="8">IF(I7="det",1,"-")</f>
        <v>1</v>
      </c>
      <c r="J21" s="118">
        <f t="shared" ref="J21:J28" si="9">IF(J7="oak",1,"-")</f>
        <v>1</v>
      </c>
      <c r="K21" s="118" t="str">
        <f t="shared" ref="K21:K28" si="10">IF(K7="mia",1,"-")</f>
        <v>-</v>
      </c>
      <c r="L21" s="118" t="str">
        <f t="shared" si="1"/>
        <v>-</v>
      </c>
      <c r="M21" s="118">
        <f t="shared" ref="M21:M28" si="11">IF(M7="tb",1,"-")</f>
        <v>1</v>
      </c>
      <c r="N21" s="118" t="str">
        <f t="shared" ref="N21:N28" si="12">IF(N7="sd",1,"-")</f>
        <v>-</v>
      </c>
      <c r="O21" s="118">
        <f t="shared" ref="O21:O28" si="13">IF(O7="ne",1,"-")</f>
        <v>1</v>
      </c>
      <c r="P21" s="118" t="str">
        <f t="shared" ref="P21:P28" si="14">IF(P7="tie",1,"-")</f>
        <v>-</v>
      </c>
      <c r="Q21" s="98">
        <f t="shared" ref="Q21:Q28" si="15">IF(Q7="den",1,"-")</f>
        <v>1</v>
      </c>
    </row>
    <row r="22" spans="2:17" x14ac:dyDescent="0.35">
      <c r="B22" s="103" t="s">
        <v>30</v>
      </c>
      <c r="C22" s="97">
        <f t="shared" si="2"/>
        <v>1</v>
      </c>
      <c r="D22" s="118">
        <f t="shared" si="3"/>
        <v>1</v>
      </c>
      <c r="E22" s="118">
        <f t="shared" si="4"/>
        <v>1</v>
      </c>
      <c r="F22" s="118" t="str">
        <f t="shared" si="5"/>
        <v>-</v>
      </c>
      <c r="G22" s="118" t="str">
        <f t="shared" si="6"/>
        <v>-</v>
      </c>
      <c r="H22" s="118">
        <f t="shared" si="7"/>
        <v>1</v>
      </c>
      <c r="I22" s="118">
        <f t="shared" si="8"/>
        <v>1</v>
      </c>
      <c r="J22" s="118">
        <f t="shared" si="9"/>
        <v>1</v>
      </c>
      <c r="K22" s="118" t="str">
        <f t="shared" si="10"/>
        <v>-</v>
      </c>
      <c r="L22" s="118" t="str">
        <f t="shared" si="1"/>
        <v>-</v>
      </c>
      <c r="M22" s="118">
        <f t="shared" si="11"/>
        <v>1</v>
      </c>
      <c r="N22" s="118" t="str">
        <f t="shared" si="12"/>
        <v>-</v>
      </c>
      <c r="O22" s="118">
        <f t="shared" si="13"/>
        <v>1</v>
      </c>
      <c r="P22" s="118" t="str">
        <f t="shared" si="14"/>
        <v>-</v>
      </c>
      <c r="Q22" s="98">
        <f t="shared" si="15"/>
        <v>1</v>
      </c>
    </row>
    <row r="23" spans="2:17" x14ac:dyDescent="0.35">
      <c r="B23" s="104" t="s">
        <v>31</v>
      </c>
      <c r="C23" s="97">
        <f t="shared" si="2"/>
        <v>1</v>
      </c>
      <c r="D23" s="118">
        <f t="shared" si="3"/>
        <v>1</v>
      </c>
      <c r="E23" s="118">
        <f t="shared" si="4"/>
        <v>1</v>
      </c>
      <c r="F23" s="118" t="str">
        <f t="shared" si="5"/>
        <v>-</v>
      </c>
      <c r="G23" s="118" t="str">
        <f t="shared" si="6"/>
        <v>-</v>
      </c>
      <c r="H23" s="118" t="str">
        <f t="shared" si="7"/>
        <v>-</v>
      </c>
      <c r="I23" s="118">
        <f t="shared" si="8"/>
        <v>1</v>
      </c>
      <c r="J23" s="118" t="str">
        <f t="shared" si="9"/>
        <v>-</v>
      </c>
      <c r="K23" s="118" t="str">
        <f t="shared" si="10"/>
        <v>-</v>
      </c>
      <c r="L23" s="118">
        <f t="shared" si="1"/>
        <v>1</v>
      </c>
      <c r="M23" s="118">
        <f t="shared" si="11"/>
        <v>1</v>
      </c>
      <c r="N23" s="118">
        <f t="shared" si="12"/>
        <v>1</v>
      </c>
      <c r="O23" s="118" t="str">
        <f t="shared" si="13"/>
        <v>-</v>
      </c>
      <c r="P23" s="118" t="str">
        <f t="shared" si="14"/>
        <v>-</v>
      </c>
      <c r="Q23" s="98" t="str">
        <f t="shared" si="15"/>
        <v>-</v>
      </c>
    </row>
    <row r="24" spans="2:17" x14ac:dyDescent="0.35">
      <c r="B24" s="103" t="s">
        <v>32</v>
      </c>
      <c r="C24" s="97">
        <f t="shared" si="2"/>
        <v>1</v>
      </c>
      <c r="D24" s="118">
        <f t="shared" si="3"/>
        <v>1</v>
      </c>
      <c r="E24" s="118">
        <f t="shared" si="4"/>
        <v>1</v>
      </c>
      <c r="F24" s="118" t="str">
        <f t="shared" si="5"/>
        <v>-</v>
      </c>
      <c r="G24" s="118">
        <f t="shared" si="6"/>
        <v>1</v>
      </c>
      <c r="H24" s="118">
        <f t="shared" si="7"/>
        <v>1</v>
      </c>
      <c r="I24" s="118">
        <f t="shared" si="8"/>
        <v>1</v>
      </c>
      <c r="J24" s="118">
        <f t="shared" si="9"/>
        <v>1</v>
      </c>
      <c r="K24" s="118" t="str">
        <f t="shared" si="10"/>
        <v>-</v>
      </c>
      <c r="L24" s="118" t="str">
        <f t="shared" si="1"/>
        <v>-</v>
      </c>
      <c r="M24" s="118">
        <f t="shared" si="11"/>
        <v>1</v>
      </c>
      <c r="N24" s="118" t="str">
        <f t="shared" si="12"/>
        <v>-</v>
      </c>
      <c r="O24" s="118">
        <f t="shared" si="13"/>
        <v>1</v>
      </c>
      <c r="P24" s="118" t="str">
        <f t="shared" si="14"/>
        <v>-</v>
      </c>
      <c r="Q24" s="98">
        <f t="shared" si="15"/>
        <v>1</v>
      </c>
    </row>
    <row r="25" spans="2:17" x14ac:dyDescent="0.35">
      <c r="B25" s="104" t="s">
        <v>35</v>
      </c>
      <c r="C25" s="97">
        <f t="shared" si="2"/>
        <v>1</v>
      </c>
      <c r="D25" s="118">
        <f t="shared" si="3"/>
        <v>1</v>
      </c>
      <c r="E25" s="118">
        <f t="shared" si="4"/>
        <v>1</v>
      </c>
      <c r="F25" s="118">
        <f t="shared" si="5"/>
        <v>1</v>
      </c>
      <c r="G25" s="118" t="str">
        <f t="shared" si="6"/>
        <v>-</v>
      </c>
      <c r="H25" s="118">
        <f t="shared" si="7"/>
        <v>1</v>
      </c>
      <c r="I25" s="118" t="str">
        <f t="shared" si="8"/>
        <v>-</v>
      </c>
      <c r="J25" s="118">
        <f t="shared" si="9"/>
        <v>1</v>
      </c>
      <c r="K25" s="118" t="str">
        <f t="shared" si="10"/>
        <v>-</v>
      </c>
      <c r="L25" s="118" t="str">
        <f t="shared" si="1"/>
        <v>-</v>
      </c>
      <c r="M25" s="118">
        <f t="shared" si="11"/>
        <v>1</v>
      </c>
      <c r="N25" s="118" t="str">
        <f t="shared" si="12"/>
        <v>-</v>
      </c>
      <c r="O25" s="118">
        <f t="shared" si="13"/>
        <v>1</v>
      </c>
      <c r="P25" s="118" t="str">
        <f t="shared" si="14"/>
        <v>-</v>
      </c>
      <c r="Q25" s="98">
        <f t="shared" si="15"/>
        <v>1</v>
      </c>
    </row>
    <row r="26" spans="2:17" x14ac:dyDescent="0.35">
      <c r="B26" s="103" t="s">
        <v>36</v>
      </c>
      <c r="C26" s="97">
        <f t="shared" si="2"/>
        <v>1</v>
      </c>
      <c r="D26" s="118">
        <f t="shared" si="3"/>
        <v>1</v>
      </c>
      <c r="E26" s="118">
        <f t="shared" si="4"/>
        <v>1</v>
      </c>
      <c r="F26" s="118" t="str">
        <f t="shared" si="5"/>
        <v>-</v>
      </c>
      <c r="G26" s="118" t="str">
        <f t="shared" si="6"/>
        <v>-</v>
      </c>
      <c r="H26" s="118">
        <f t="shared" si="7"/>
        <v>1</v>
      </c>
      <c r="I26" s="118">
        <f t="shared" si="8"/>
        <v>1</v>
      </c>
      <c r="J26" s="118">
        <f t="shared" si="9"/>
        <v>1</v>
      </c>
      <c r="K26" s="118" t="str">
        <f t="shared" si="10"/>
        <v>-</v>
      </c>
      <c r="L26" s="118" t="str">
        <f t="shared" si="1"/>
        <v>-</v>
      </c>
      <c r="M26" s="118">
        <f t="shared" si="11"/>
        <v>1</v>
      </c>
      <c r="N26" s="118" t="str">
        <f t="shared" si="12"/>
        <v>-</v>
      </c>
      <c r="O26" s="118">
        <f t="shared" si="13"/>
        <v>1</v>
      </c>
      <c r="P26" s="118" t="str">
        <f t="shared" si="14"/>
        <v>-</v>
      </c>
      <c r="Q26" s="98">
        <f t="shared" si="15"/>
        <v>1</v>
      </c>
    </row>
    <row r="27" spans="2:17" x14ac:dyDescent="0.35">
      <c r="B27" s="104" t="s">
        <v>37</v>
      </c>
      <c r="C27" s="97">
        <f t="shared" si="2"/>
        <v>1</v>
      </c>
      <c r="D27" s="118">
        <f t="shared" si="3"/>
        <v>1</v>
      </c>
      <c r="E27" s="118">
        <f t="shared" si="4"/>
        <v>1</v>
      </c>
      <c r="F27" s="118" t="str">
        <f t="shared" si="5"/>
        <v>-</v>
      </c>
      <c r="G27" s="118" t="str">
        <f t="shared" si="6"/>
        <v>-</v>
      </c>
      <c r="H27" s="118">
        <f t="shared" si="7"/>
        <v>1</v>
      </c>
      <c r="I27" s="118" t="str">
        <f t="shared" si="8"/>
        <v>-</v>
      </c>
      <c r="J27" s="118">
        <f t="shared" si="9"/>
        <v>1</v>
      </c>
      <c r="K27" s="118" t="str">
        <f t="shared" si="10"/>
        <v>-</v>
      </c>
      <c r="L27" s="118" t="str">
        <f t="shared" si="1"/>
        <v>-</v>
      </c>
      <c r="M27" s="118">
        <f t="shared" si="11"/>
        <v>1</v>
      </c>
      <c r="N27" s="118" t="str">
        <f t="shared" si="12"/>
        <v>-</v>
      </c>
      <c r="O27" s="118">
        <f t="shared" si="13"/>
        <v>1</v>
      </c>
      <c r="P27" s="118" t="str">
        <f t="shared" si="14"/>
        <v>-</v>
      </c>
      <c r="Q27" s="98">
        <f t="shared" si="15"/>
        <v>1</v>
      </c>
    </row>
    <row r="28" spans="2:17" ht="15" thickBot="1" x14ac:dyDescent="0.4">
      <c r="B28" s="105" t="s">
        <v>57</v>
      </c>
      <c r="C28" s="99">
        <f t="shared" si="2"/>
        <v>1</v>
      </c>
      <c r="D28" s="74" t="str">
        <f t="shared" si="3"/>
        <v>-</v>
      </c>
      <c r="E28" s="74">
        <f t="shared" si="4"/>
        <v>1</v>
      </c>
      <c r="F28" s="74" t="str">
        <f t="shared" si="5"/>
        <v>-</v>
      </c>
      <c r="G28" s="74">
        <f t="shared" si="6"/>
        <v>1</v>
      </c>
      <c r="H28" s="74">
        <f t="shared" si="7"/>
        <v>1</v>
      </c>
      <c r="I28" s="74" t="str">
        <f t="shared" si="8"/>
        <v>-</v>
      </c>
      <c r="J28" s="74">
        <f t="shared" si="9"/>
        <v>1</v>
      </c>
      <c r="K28" s="74" t="str">
        <f t="shared" si="10"/>
        <v>-</v>
      </c>
      <c r="L28" s="74">
        <f t="shared" si="1"/>
        <v>1</v>
      </c>
      <c r="M28" s="74">
        <f t="shared" si="11"/>
        <v>1</v>
      </c>
      <c r="N28" s="74" t="str">
        <f t="shared" si="12"/>
        <v>-</v>
      </c>
      <c r="O28" s="74">
        <f t="shared" si="13"/>
        <v>1</v>
      </c>
      <c r="P28" s="74" t="str">
        <f t="shared" si="14"/>
        <v>-</v>
      </c>
      <c r="Q28" s="100">
        <f t="shared" si="15"/>
        <v>1</v>
      </c>
    </row>
    <row r="29" spans="2:17" ht="15" thickTop="1" x14ac:dyDescent="0.35"/>
  </sheetData>
  <mergeCells count="1">
    <mergeCell ref="S4:S5"/>
  </mergeCells>
  <conditionalFormatting sqref="A1:XFD3 A16:XFD17 A4:A15 T4:XFD15 A29:XFD1048576 A18:A28 R18:XFD28">
    <cfRule type="cellIs" dxfId="3740" priority="227" operator="equal">
      <formula>"PHI"</formula>
    </cfRule>
    <cfRule type="cellIs" dxfId="3739" priority="228" operator="equal">
      <formula>"GB"</formula>
    </cfRule>
    <cfRule type="cellIs" dxfId="3738" priority="229" operator="equal">
      <formula>"MIN"</formula>
    </cfRule>
    <cfRule type="cellIs" dxfId="3737" priority="230" operator="equal">
      <formula>"NYG"</formula>
    </cfRule>
    <cfRule type="cellIs" dxfId="3736" priority="231" operator="equal">
      <formula>"PIT"</formula>
    </cfRule>
    <cfRule type="cellIs" dxfId="3735" priority="232" operator="equal">
      <formula>"KC"</formula>
    </cfRule>
    <cfRule type="cellIs" dxfId="3734" priority="233" operator="equal">
      <formula>"ARI"</formula>
    </cfRule>
    <cfRule type="cellIs" dxfId="3733" priority="234" operator="equal">
      <formula>"LA"</formula>
    </cfRule>
    <cfRule type="cellIs" dxfId="3732" priority="235" operator="equal">
      <formula>"SD"</formula>
    </cfRule>
    <cfRule type="cellIs" dxfId="3731" priority="236" operator="equal">
      <formula>"NO"</formula>
    </cfRule>
    <cfRule type="cellIs" dxfId="3730" priority="237" operator="equal">
      <formula>"SF"</formula>
    </cfRule>
    <cfRule type="cellIs" dxfId="3729" priority="238" operator="equal">
      <formula>"DAL"</formula>
    </cfRule>
    <cfRule type="cellIs" dxfId="3728" priority="239" operator="equal">
      <formula>"TB"</formula>
    </cfRule>
    <cfRule type="cellIs" dxfId="3727" priority="240" operator="equal">
      <formula>"DEN"</formula>
    </cfRule>
    <cfRule type="cellIs" dxfId="3726" priority="241" operator="equal">
      <formula>"BAL"</formula>
    </cfRule>
    <cfRule type="cellIs" dxfId="3725" priority="242" operator="equal">
      <formula>"OAK"</formula>
    </cfRule>
    <cfRule type="cellIs" dxfId="3724" priority="243" operator="equal">
      <formula>"HOU"</formula>
    </cfRule>
    <cfRule type="cellIs" dxfId="3723" priority="244" operator="equal">
      <formula>"TEN"</formula>
    </cfRule>
    <cfRule type="cellIs" dxfId="3722" priority="245" operator="equal">
      <formula>"CHI"</formula>
    </cfRule>
    <cfRule type="cellIs" dxfId="3721" priority="246" operator="equal">
      <formula>"DET"</formula>
    </cfRule>
    <cfRule type="cellIs" dxfId="3720" priority="247" operator="equal">
      <formula>"ATL"</formula>
    </cfRule>
    <cfRule type="cellIs" dxfId="3719" priority="248" operator="equal">
      <formula>"CAR"</formula>
    </cfRule>
    <cfRule type="cellIs" dxfId="3718" priority="249" operator="equal">
      <formula>"IND"</formula>
    </cfRule>
    <cfRule type="cellIs" dxfId="3717" priority="250" operator="equal">
      <formula>"JAX"</formula>
    </cfRule>
    <cfRule type="cellIs" dxfId="3716" priority="251" operator="equal">
      <formula>"NYJ"</formula>
    </cfRule>
    <cfRule type="cellIs" dxfId="3715" priority="252" operator="equal">
      <formula>"SEA"</formula>
    </cfRule>
    <cfRule type="cellIs" dxfId="3714" priority="253" operator="equal">
      <formula>"NE"</formula>
    </cfRule>
    <cfRule type="cellIs" dxfId="3713" priority="254" operator="equal">
      <formula>"BUF"</formula>
    </cfRule>
    <cfRule type="cellIs" dxfId="3712" priority="255" operator="equal">
      <formula>"WAS"</formula>
    </cfRule>
    <cfRule type="cellIs" dxfId="3711" priority="256" operator="equal">
      <formula>"CLE"</formula>
    </cfRule>
    <cfRule type="cellIs" dxfId="3710" priority="257" operator="equal">
      <formula>"CIN"</formula>
    </cfRule>
    <cfRule type="cellIs" dxfId="3709" priority="258" operator="equal">
      <formula>"MIA"</formula>
    </cfRule>
  </conditionalFormatting>
  <conditionalFormatting sqref="B18:Q18">
    <cfRule type="cellIs" dxfId="3708" priority="2" operator="equal">
      <formula>"PHI"</formula>
    </cfRule>
    <cfRule type="cellIs" dxfId="3707" priority="3" operator="equal">
      <formula>"GB"</formula>
    </cfRule>
    <cfRule type="cellIs" dxfId="3706" priority="4" operator="equal">
      <formula>"MIN"</formula>
    </cfRule>
    <cfRule type="cellIs" dxfId="3705" priority="5" operator="equal">
      <formula>"NYG"</formula>
    </cfRule>
    <cfRule type="cellIs" dxfId="3704" priority="6" operator="equal">
      <formula>"PIT"</formula>
    </cfRule>
    <cfRule type="cellIs" dxfId="3703" priority="7" operator="equal">
      <formula>"KC"</formula>
    </cfRule>
    <cfRule type="cellIs" dxfId="3702" priority="8" operator="equal">
      <formula>"ARI"</formula>
    </cfRule>
    <cfRule type="cellIs" dxfId="3701" priority="9" operator="equal">
      <formula>"LA"</formula>
    </cfRule>
    <cfRule type="cellIs" dxfId="3700" priority="10" operator="equal">
      <formula>"SD"</formula>
    </cfRule>
    <cfRule type="cellIs" dxfId="3699" priority="11" operator="equal">
      <formula>"NO"</formula>
    </cfRule>
    <cfRule type="cellIs" dxfId="3698" priority="12" operator="equal">
      <formula>"SF"</formula>
    </cfRule>
    <cfRule type="cellIs" dxfId="3697" priority="13" operator="equal">
      <formula>"DAL"</formula>
    </cfRule>
    <cfRule type="cellIs" dxfId="3696" priority="14" operator="equal">
      <formula>"TB"</formula>
    </cfRule>
    <cfRule type="cellIs" dxfId="3695" priority="15" operator="equal">
      <formula>"DEN"</formula>
    </cfRule>
    <cfRule type="cellIs" dxfId="3694" priority="16" operator="equal">
      <formula>"BAL"</formula>
    </cfRule>
    <cfRule type="cellIs" dxfId="3693" priority="17" operator="equal">
      <formula>"OAK"</formula>
    </cfRule>
    <cfRule type="cellIs" dxfId="3692" priority="18" operator="equal">
      <formula>"HOU"</formula>
    </cfRule>
    <cfRule type="cellIs" dxfId="3691" priority="19" operator="equal">
      <formula>"TEN"</formula>
    </cfRule>
    <cfRule type="cellIs" dxfId="3690" priority="20" operator="equal">
      <formula>"CHI"</formula>
    </cfRule>
    <cfRule type="cellIs" dxfId="3689" priority="21" operator="equal">
      <formula>"DET"</formula>
    </cfRule>
    <cfRule type="cellIs" dxfId="3688" priority="22" operator="equal">
      <formula>"ATL"</formula>
    </cfRule>
    <cfRule type="cellIs" dxfId="3687" priority="23" operator="equal">
      <formula>"CAR"</formula>
    </cfRule>
    <cfRule type="cellIs" dxfId="3686" priority="24" operator="equal">
      <formula>"IND"</formula>
    </cfRule>
    <cfRule type="cellIs" dxfId="3685" priority="25" operator="equal">
      <formula>"JAX"</formula>
    </cfRule>
    <cfRule type="cellIs" dxfId="3684" priority="26" operator="equal">
      <formula>"NYJ"</formula>
    </cfRule>
    <cfRule type="cellIs" dxfId="3683" priority="27" operator="equal">
      <formula>"SEA"</formula>
    </cfRule>
    <cfRule type="cellIs" dxfId="3682" priority="28" operator="equal">
      <formula>"NE"</formula>
    </cfRule>
    <cfRule type="cellIs" dxfId="3681" priority="29" operator="equal">
      <formula>"BUF"</formula>
    </cfRule>
    <cfRule type="cellIs" dxfId="3680" priority="30" operator="equal">
      <formula>"WAS"</formula>
    </cfRule>
    <cfRule type="cellIs" dxfId="3679" priority="31" operator="equal">
      <formula>"CLE"</formula>
    </cfRule>
    <cfRule type="cellIs" dxfId="3678" priority="32" operator="equal">
      <formula>"CIN"</formula>
    </cfRule>
    <cfRule type="cellIs" dxfId="3677" priority="33" operator="equal">
      <formula>"MIA"</formula>
    </cfRule>
  </conditionalFormatting>
  <conditionalFormatting sqref="B4:Q4">
    <cfRule type="cellIs" dxfId="3676" priority="66" operator="equal">
      <formula>"PHI"</formula>
    </cfRule>
    <cfRule type="cellIs" dxfId="3675" priority="67" operator="equal">
      <formula>"GB"</formula>
    </cfRule>
    <cfRule type="cellIs" dxfId="3674" priority="68" operator="equal">
      <formula>"MIN"</formula>
    </cfRule>
    <cfRule type="cellIs" dxfId="3673" priority="69" operator="equal">
      <formula>"NYG"</formula>
    </cfRule>
    <cfRule type="cellIs" dxfId="3672" priority="70" operator="equal">
      <formula>"PIT"</formula>
    </cfRule>
    <cfRule type="cellIs" dxfId="3671" priority="71" operator="equal">
      <formula>"KC"</formula>
    </cfRule>
    <cfRule type="cellIs" dxfId="3670" priority="72" operator="equal">
      <formula>"ARI"</formula>
    </cfRule>
    <cfRule type="cellIs" dxfId="3669" priority="73" operator="equal">
      <formula>"LA"</formula>
    </cfRule>
    <cfRule type="cellIs" dxfId="3668" priority="74" operator="equal">
      <formula>"SD"</formula>
    </cfRule>
    <cfRule type="cellIs" dxfId="3667" priority="75" operator="equal">
      <formula>"NO"</formula>
    </cfRule>
    <cfRule type="cellIs" dxfId="3666" priority="76" operator="equal">
      <formula>"SF"</formula>
    </cfRule>
    <cfRule type="cellIs" dxfId="3665" priority="77" operator="equal">
      <formula>"DAL"</formula>
    </cfRule>
    <cfRule type="cellIs" dxfId="3664" priority="78" operator="equal">
      <formula>"TB"</formula>
    </cfRule>
    <cfRule type="cellIs" dxfId="3663" priority="79" operator="equal">
      <formula>"DEN"</formula>
    </cfRule>
    <cfRule type="cellIs" dxfId="3662" priority="80" operator="equal">
      <formula>"BAL"</formula>
    </cfRule>
    <cfRule type="cellIs" dxfId="3661" priority="81" operator="equal">
      <formula>"OAK"</formula>
    </cfRule>
    <cfRule type="cellIs" dxfId="3660" priority="82" operator="equal">
      <formula>"HOU"</formula>
    </cfRule>
    <cfRule type="cellIs" dxfId="3659" priority="83" operator="equal">
      <formula>"TEN"</formula>
    </cfRule>
    <cfRule type="cellIs" dxfId="3658" priority="84" operator="equal">
      <formula>"CHI"</formula>
    </cfRule>
    <cfRule type="cellIs" dxfId="3657" priority="85" operator="equal">
      <formula>"DET"</formula>
    </cfRule>
    <cfRule type="cellIs" dxfId="3656" priority="86" operator="equal">
      <formula>"ATL"</formula>
    </cfRule>
    <cfRule type="cellIs" dxfId="3655" priority="87" operator="equal">
      <formula>"CAR"</formula>
    </cfRule>
    <cfRule type="cellIs" dxfId="3654" priority="88" operator="equal">
      <formula>"IND"</formula>
    </cfRule>
    <cfRule type="cellIs" dxfId="3653" priority="89" operator="equal">
      <formula>"JAX"</formula>
    </cfRule>
    <cfRule type="cellIs" dxfId="3652" priority="90" operator="equal">
      <formula>"NYJ"</formula>
    </cfRule>
    <cfRule type="cellIs" dxfId="3651" priority="91" operator="equal">
      <formula>"SEA"</formula>
    </cfRule>
    <cfRule type="cellIs" dxfId="3650" priority="92" operator="equal">
      <formula>"NE"</formula>
    </cfRule>
    <cfRule type="cellIs" dxfId="3649" priority="93" operator="equal">
      <formula>"BUF"</formula>
    </cfRule>
    <cfRule type="cellIs" dxfId="3648" priority="94" operator="equal">
      <formula>"WAS"</formula>
    </cfRule>
    <cfRule type="cellIs" dxfId="3647" priority="95" operator="equal">
      <formula>"CLE"</formula>
    </cfRule>
    <cfRule type="cellIs" dxfId="3646" priority="96" operator="equal">
      <formula>"CIN"</formula>
    </cfRule>
    <cfRule type="cellIs" dxfId="3645" priority="97" operator="equal">
      <formula>"MIA"</formula>
    </cfRule>
  </conditionalFormatting>
  <conditionalFormatting sqref="R4:S4 B5:S15">
    <cfRule type="cellIs" dxfId="3644" priority="98" operator="equal">
      <formula>"PHI"</formula>
    </cfRule>
    <cfRule type="cellIs" dxfId="3643" priority="99" operator="equal">
      <formula>"GB"</formula>
    </cfRule>
    <cfRule type="cellIs" dxfId="3642" priority="100" operator="equal">
      <formula>"MIN"</formula>
    </cfRule>
    <cfRule type="cellIs" dxfId="3641" priority="101" operator="equal">
      <formula>"NYG"</formula>
    </cfRule>
    <cfRule type="cellIs" dxfId="3640" priority="102" operator="equal">
      <formula>"PIT"</formula>
    </cfRule>
    <cfRule type="cellIs" dxfId="3639" priority="103" operator="equal">
      <formula>"KC"</formula>
    </cfRule>
    <cfRule type="cellIs" dxfId="3638" priority="104" operator="equal">
      <formula>"ARI"</formula>
    </cfRule>
    <cfRule type="cellIs" dxfId="3637" priority="105" operator="equal">
      <formula>"LA"</formula>
    </cfRule>
    <cfRule type="cellIs" dxfId="3636" priority="106" operator="equal">
      <formula>"SD"</formula>
    </cfRule>
    <cfRule type="cellIs" dxfId="3635" priority="107" operator="equal">
      <formula>"NO"</formula>
    </cfRule>
    <cfRule type="cellIs" dxfId="3634" priority="108" operator="equal">
      <formula>"SF"</formula>
    </cfRule>
    <cfRule type="cellIs" dxfId="3633" priority="109" operator="equal">
      <formula>"DAL"</formula>
    </cfRule>
    <cfRule type="cellIs" dxfId="3632" priority="110" operator="equal">
      <formula>"TB"</formula>
    </cfRule>
    <cfRule type="cellIs" dxfId="3631" priority="111" operator="equal">
      <formula>"DEN"</formula>
    </cfRule>
    <cfRule type="cellIs" dxfId="3630" priority="112" operator="equal">
      <formula>"BAL"</formula>
    </cfRule>
    <cfRule type="cellIs" dxfId="3629" priority="113" operator="equal">
      <formula>"OAK"</formula>
    </cfRule>
    <cfRule type="cellIs" dxfId="3628" priority="114" operator="equal">
      <formula>"HOU"</formula>
    </cfRule>
    <cfRule type="cellIs" dxfId="3627" priority="115" operator="equal">
      <formula>"TEN"</formula>
    </cfRule>
    <cfRule type="cellIs" dxfId="3626" priority="116" operator="equal">
      <formula>"CHI"</formula>
    </cfRule>
    <cfRule type="cellIs" dxfId="3625" priority="117" operator="equal">
      <formula>"DET"</formula>
    </cfRule>
    <cfRule type="cellIs" dxfId="3624" priority="118" operator="equal">
      <formula>"ATL"</formula>
    </cfRule>
    <cfRule type="cellIs" dxfId="3623" priority="119" operator="equal">
      <formula>"CAR"</formula>
    </cfRule>
    <cfRule type="cellIs" dxfId="3622" priority="120" operator="equal">
      <formula>"IND"</formula>
    </cfRule>
    <cfRule type="cellIs" dxfId="3621" priority="121" operator="equal">
      <formula>"JAX"</formula>
    </cfRule>
    <cfRule type="cellIs" dxfId="3620" priority="122" operator="equal">
      <formula>"NYJ"</formula>
    </cfRule>
    <cfRule type="cellIs" dxfId="3619" priority="123" operator="equal">
      <formula>"SEA"</formula>
    </cfRule>
    <cfRule type="cellIs" dxfId="3618" priority="124" operator="equal">
      <formula>"NE"</formula>
    </cfRule>
    <cfRule type="cellIs" dxfId="3617" priority="125" operator="equal">
      <formula>"BUF"</formula>
    </cfRule>
    <cfRule type="cellIs" dxfId="3616" priority="126" operator="equal">
      <formula>"WAS"</formula>
    </cfRule>
    <cfRule type="cellIs" dxfId="3615" priority="127" operator="equal">
      <formula>"CLE"</formula>
    </cfRule>
    <cfRule type="cellIs" dxfId="3614" priority="128" operator="equal">
      <formula>"CIN"</formula>
    </cfRule>
    <cfRule type="cellIs" dxfId="3613" priority="129" operator="equal">
      <formula>"MIA"</formula>
    </cfRule>
  </conditionalFormatting>
  <conditionalFormatting sqref="B19:Q28">
    <cfRule type="cellIs" dxfId="3612" priority="34" operator="equal">
      <formula>"PHI"</formula>
    </cfRule>
    <cfRule type="cellIs" dxfId="3611" priority="35" operator="equal">
      <formula>"GB"</formula>
    </cfRule>
    <cfRule type="cellIs" dxfId="3610" priority="36" operator="equal">
      <formula>"MIN"</formula>
    </cfRule>
    <cfRule type="cellIs" dxfId="3609" priority="37" operator="equal">
      <formula>"NYG"</formula>
    </cfRule>
    <cfRule type="cellIs" dxfId="3608" priority="38" operator="equal">
      <formula>"PIT"</formula>
    </cfRule>
    <cfRule type="cellIs" dxfId="3607" priority="39" operator="equal">
      <formula>"KC"</formula>
    </cfRule>
    <cfRule type="cellIs" dxfId="3606" priority="40" operator="equal">
      <formula>"ARI"</formula>
    </cfRule>
    <cfRule type="cellIs" dxfId="3605" priority="41" operator="equal">
      <formula>"LA"</formula>
    </cfRule>
    <cfRule type="cellIs" dxfId="3604" priority="42" operator="equal">
      <formula>"SD"</formula>
    </cfRule>
    <cfRule type="cellIs" dxfId="3603" priority="43" operator="equal">
      <formula>"NO"</formula>
    </cfRule>
    <cfRule type="cellIs" dxfId="3602" priority="44" operator="equal">
      <formula>"SF"</formula>
    </cfRule>
    <cfRule type="cellIs" dxfId="3601" priority="45" operator="equal">
      <formula>"DAL"</formula>
    </cfRule>
    <cfRule type="cellIs" dxfId="3600" priority="46" operator="equal">
      <formula>"TB"</formula>
    </cfRule>
    <cfRule type="cellIs" dxfId="3599" priority="47" operator="equal">
      <formula>"DEN"</formula>
    </cfRule>
    <cfRule type="cellIs" dxfId="3598" priority="48" operator="equal">
      <formula>"BAL"</formula>
    </cfRule>
    <cfRule type="cellIs" dxfId="3597" priority="49" operator="equal">
      <formula>"OAK"</formula>
    </cfRule>
    <cfRule type="cellIs" dxfId="3596" priority="50" operator="equal">
      <formula>"HOU"</formula>
    </cfRule>
    <cfRule type="cellIs" dxfId="3595" priority="51" operator="equal">
      <formula>"TEN"</formula>
    </cfRule>
    <cfRule type="cellIs" dxfId="3594" priority="52" operator="equal">
      <formula>"CHI"</formula>
    </cfRule>
    <cfRule type="cellIs" dxfId="3593" priority="53" operator="equal">
      <formula>"DET"</formula>
    </cfRule>
    <cfRule type="cellIs" dxfId="3592" priority="54" operator="equal">
      <formula>"ATL"</formula>
    </cfRule>
    <cfRule type="cellIs" dxfId="3591" priority="55" operator="equal">
      <formula>"CAR"</formula>
    </cfRule>
    <cfRule type="cellIs" dxfId="3590" priority="56" operator="equal">
      <formula>"IND"</formula>
    </cfRule>
    <cfRule type="cellIs" dxfId="3589" priority="57" operator="equal">
      <formula>"JAX"</formula>
    </cfRule>
    <cfRule type="cellIs" dxfId="3588" priority="58" operator="equal">
      <formula>"NYJ"</formula>
    </cfRule>
    <cfRule type="cellIs" dxfId="3587" priority="59" operator="equal">
      <formula>"SEA"</formula>
    </cfRule>
    <cfRule type="cellIs" dxfId="3586" priority="60" operator="equal">
      <formula>"NE"</formula>
    </cfRule>
    <cfRule type="cellIs" dxfId="3585" priority="61" operator="equal">
      <formula>"BUF"</formula>
    </cfRule>
    <cfRule type="cellIs" dxfId="3584" priority="62" operator="equal">
      <formula>"WAS"</formula>
    </cfRule>
    <cfRule type="cellIs" dxfId="3583" priority="63" operator="equal">
      <formula>"CLE"</formula>
    </cfRule>
    <cfRule type="cellIs" dxfId="3582" priority="64" operator="equal">
      <formula>"CIN"</formula>
    </cfRule>
    <cfRule type="cellIs" dxfId="3581" priority="65" operator="equal">
      <formula>"MIA"</formula>
    </cfRule>
  </conditionalFormatting>
  <conditionalFormatting sqref="C20:Q28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S29"/>
  <sheetViews>
    <sheetView zoomScaleNormal="100" workbookViewId="0">
      <selection activeCell="T7" sqref="T7"/>
    </sheetView>
  </sheetViews>
  <sheetFormatPr defaultRowHeight="14.5" x14ac:dyDescent="0.35"/>
  <cols>
    <col min="1" max="1" width="8.7265625" style="41"/>
    <col min="2" max="2" width="10.90625" style="41" bestFit="1" customWidth="1"/>
    <col min="3" max="3" width="8.81640625" style="41" bestFit="1" customWidth="1"/>
    <col min="4" max="4" width="10.08984375" style="41" bestFit="1" customWidth="1"/>
    <col min="5" max="5" width="9.81640625" style="41" bestFit="1" customWidth="1"/>
    <col min="6" max="6" width="8" style="41" bestFit="1" customWidth="1"/>
    <col min="7" max="7" width="8.1796875" style="41" bestFit="1" customWidth="1"/>
    <col min="8" max="8" width="9.6328125" style="41" bestFit="1" customWidth="1"/>
    <col min="9" max="9" width="8.81640625" style="41" bestFit="1" customWidth="1"/>
    <col min="10" max="10" width="8.6328125" style="41" bestFit="1" customWidth="1"/>
    <col min="11" max="11" width="9.1796875" style="41" bestFit="1" customWidth="1"/>
    <col min="12" max="12" width="8.36328125" style="41" bestFit="1" customWidth="1"/>
    <col min="13" max="14" width="8.81640625" style="41" bestFit="1" customWidth="1"/>
    <col min="15" max="15" width="9.08984375" style="41" bestFit="1" customWidth="1"/>
    <col min="16" max="16" width="8.08984375" style="41" hidden="1" customWidth="1"/>
    <col min="17" max="17" width="9.7265625" style="41" hidden="1" customWidth="1"/>
    <col min="18" max="18" width="9.08984375" style="41" hidden="1" customWidth="1"/>
    <col min="19" max="16384" width="8.7265625" style="41"/>
  </cols>
  <sheetData>
    <row r="3" spans="2:19" ht="15" thickBot="1" x14ac:dyDescent="0.4">
      <c r="D3" s="69" t="s">
        <v>147</v>
      </c>
    </row>
    <row r="4" spans="2:19" ht="15.5" customHeight="1" thickTop="1" thickBot="1" x14ac:dyDescent="0.4">
      <c r="B4" s="11" t="s">
        <v>0</v>
      </c>
      <c r="C4" s="82" t="s">
        <v>221</v>
      </c>
      <c r="D4" s="82" t="s">
        <v>222</v>
      </c>
      <c r="E4" s="82" t="s">
        <v>223</v>
      </c>
      <c r="F4" s="82" t="s">
        <v>224</v>
      </c>
      <c r="G4" s="82" t="s">
        <v>225</v>
      </c>
      <c r="H4" s="82" t="s">
        <v>226</v>
      </c>
      <c r="I4" s="82" t="s">
        <v>227</v>
      </c>
      <c r="J4" s="82" t="s">
        <v>228</v>
      </c>
      <c r="K4" s="82" t="s">
        <v>229</v>
      </c>
      <c r="L4" s="82" t="s">
        <v>230</v>
      </c>
      <c r="M4" s="82" t="s">
        <v>231</v>
      </c>
      <c r="N4" s="82" t="s">
        <v>232</v>
      </c>
      <c r="O4" s="82" t="s">
        <v>233</v>
      </c>
      <c r="P4" s="41" t="s">
        <v>234</v>
      </c>
      <c r="Q4" s="69" t="s">
        <v>160</v>
      </c>
      <c r="R4" s="69" t="s">
        <v>161</v>
      </c>
      <c r="S4" s="406" t="s">
        <v>92</v>
      </c>
    </row>
    <row r="5" spans="2:19" ht="15.5" thickTop="1" thickBot="1" x14ac:dyDescent="0.4">
      <c r="B5" s="26" t="s">
        <v>1</v>
      </c>
      <c r="C5" s="8" t="s">
        <v>23</v>
      </c>
      <c r="D5" s="8" t="s">
        <v>20</v>
      </c>
      <c r="E5" s="8" t="s">
        <v>111</v>
      </c>
      <c r="F5" s="8" t="s">
        <v>20</v>
      </c>
      <c r="G5" s="8" t="s">
        <v>19</v>
      </c>
      <c r="H5" s="8" t="s">
        <v>377</v>
      </c>
      <c r="I5" s="8" t="s">
        <v>378</v>
      </c>
      <c r="J5" s="8" t="s">
        <v>27</v>
      </c>
      <c r="K5" s="8" t="s">
        <v>19</v>
      </c>
      <c r="L5" s="8" t="s">
        <v>113</v>
      </c>
      <c r="M5" s="8" t="s">
        <v>111</v>
      </c>
      <c r="N5" s="8" t="s">
        <v>141</v>
      </c>
      <c r="O5" s="8" t="s">
        <v>377</v>
      </c>
      <c r="P5" s="8" t="s">
        <v>165</v>
      </c>
      <c r="Q5" s="8" t="s">
        <v>114</v>
      </c>
      <c r="R5" s="27"/>
      <c r="S5" s="407"/>
    </row>
    <row r="6" spans="2:19" ht="15" thickTop="1" x14ac:dyDescent="0.35">
      <c r="B6" s="22" t="s">
        <v>3</v>
      </c>
      <c r="C6" s="69" t="s">
        <v>120</v>
      </c>
      <c r="D6" s="69" t="s">
        <v>62</v>
      </c>
      <c r="E6" s="69" t="s">
        <v>66</v>
      </c>
      <c r="F6" s="69" t="s">
        <v>64</v>
      </c>
      <c r="G6" s="69" t="s">
        <v>60</v>
      </c>
      <c r="H6" s="69" t="s">
        <v>89</v>
      </c>
      <c r="I6" s="69" t="s">
        <v>79</v>
      </c>
      <c r="J6" s="69" t="s">
        <v>74</v>
      </c>
      <c r="K6" s="69" t="s">
        <v>67</v>
      </c>
      <c r="L6" s="69" t="s">
        <v>34</v>
      </c>
      <c r="M6" s="69" t="s">
        <v>33</v>
      </c>
      <c r="N6" s="69" t="s">
        <v>90</v>
      </c>
      <c r="O6" s="69" t="s">
        <v>87</v>
      </c>
      <c r="P6" s="69" t="s">
        <v>166</v>
      </c>
      <c r="Q6" s="69"/>
      <c r="R6" s="46"/>
      <c r="S6" s="196">
        <f>SUM(C20:R20)</f>
        <v>9</v>
      </c>
    </row>
    <row r="7" spans="2:19" x14ac:dyDescent="0.35">
      <c r="B7" s="22" t="s">
        <v>29</v>
      </c>
      <c r="C7" s="141" t="s">
        <v>120</v>
      </c>
      <c r="D7" s="141" t="s">
        <v>71</v>
      </c>
      <c r="E7" s="141" t="s">
        <v>117</v>
      </c>
      <c r="F7" s="141" t="s">
        <v>58</v>
      </c>
      <c r="G7" s="141" t="s">
        <v>60</v>
      </c>
      <c r="H7" s="141" t="s">
        <v>89</v>
      </c>
      <c r="I7" s="141" t="s">
        <v>79</v>
      </c>
      <c r="J7" s="141" t="s">
        <v>74</v>
      </c>
      <c r="K7" s="141" t="s">
        <v>67</v>
      </c>
      <c r="L7" s="141" t="s">
        <v>119</v>
      </c>
      <c r="M7" s="141" t="s">
        <v>118</v>
      </c>
      <c r="N7" s="141" t="s">
        <v>90</v>
      </c>
      <c r="O7" s="141" t="s">
        <v>87</v>
      </c>
      <c r="P7" s="69" t="s">
        <v>166</v>
      </c>
      <c r="Q7" s="44"/>
      <c r="R7" s="45"/>
      <c r="S7" s="197">
        <f t="shared" ref="S7:S14" si="0">SUM(C21:R21)</f>
        <v>7</v>
      </c>
    </row>
    <row r="8" spans="2:19" x14ac:dyDescent="0.35">
      <c r="B8" s="22" t="s">
        <v>30</v>
      </c>
      <c r="C8" s="143" t="s">
        <v>120</v>
      </c>
      <c r="D8" s="143" t="s">
        <v>62</v>
      </c>
      <c r="E8" s="143" t="s">
        <v>66</v>
      </c>
      <c r="F8" s="143" t="s">
        <v>58</v>
      </c>
      <c r="G8" s="143" t="s">
        <v>69</v>
      </c>
      <c r="H8" s="143" t="s">
        <v>89</v>
      </c>
      <c r="I8" s="143" t="s">
        <v>79</v>
      </c>
      <c r="J8" s="143" t="s">
        <v>74</v>
      </c>
      <c r="K8" s="143" t="s">
        <v>67</v>
      </c>
      <c r="L8" s="143" t="s">
        <v>34</v>
      </c>
      <c r="M8" s="143" t="s">
        <v>118</v>
      </c>
      <c r="N8" s="143" t="s">
        <v>90</v>
      </c>
      <c r="O8" s="143" t="s">
        <v>87</v>
      </c>
      <c r="P8" s="69" t="s">
        <v>166</v>
      </c>
      <c r="Q8" s="44"/>
      <c r="R8" s="44"/>
      <c r="S8" s="196">
        <f t="shared" si="0"/>
        <v>8</v>
      </c>
    </row>
    <row r="9" spans="2:19" x14ac:dyDescent="0.35">
      <c r="B9" s="22" t="s">
        <v>31</v>
      </c>
      <c r="C9" s="69" t="s">
        <v>122</v>
      </c>
      <c r="D9" s="69" t="s">
        <v>166</v>
      </c>
      <c r="E9" s="69" t="s">
        <v>66</v>
      </c>
      <c r="F9" s="69" t="s">
        <v>64</v>
      </c>
      <c r="G9" s="69" t="s">
        <v>60</v>
      </c>
      <c r="H9" s="69" t="s">
        <v>89</v>
      </c>
      <c r="I9" s="69" t="s">
        <v>63</v>
      </c>
      <c r="J9" s="69" t="s">
        <v>74</v>
      </c>
      <c r="K9" s="69" t="s">
        <v>67</v>
      </c>
      <c r="L9" s="69" t="s">
        <v>119</v>
      </c>
      <c r="M9" s="69" t="s">
        <v>118</v>
      </c>
      <c r="N9" s="69" t="s">
        <v>90</v>
      </c>
      <c r="O9" s="69" t="s">
        <v>87</v>
      </c>
      <c r="P9" s="69" t="s">
        <v>166</v>
      </c>
      <c r="Q9" s="69"/>
      <c r="R9" s="44"/>
      <c r="S9" s="197">
        <f t="shared" si="0"/>
        <v>5</v>
      </c>
    </row>
    <row r="10" spans="2:19" x14ac:dyDescent="0.35">
      <c r="B10" s="22" t="s">
        <v>32</v>
      </c>
      <c r="C10" s="140" t="s">
        <v>120</v>
      </c>
      <c r="D10" s="140" t="s">
        <v>62</v>
      </c>
      <c r="E10" s="140" t="s">
        <v>66</v>
      </c>
      <c r="F10" s="140" t="s">
        <v>58</v>
      </c>
      <c r="G10" s="140" t="s">
        <v>60</v>
      </c>
      <c r="H10" s="140" t="s">
        <v>89</v>
      </c>
      <c r="I10" s="140" t="s">
        <v>79</v>
      </c>
      <c r="J10" s="140" t="s">
        <v>74</v>
      </c>
      <c r="K10" s="140" t="s">
        <v>67</v>
      </c>
      <c r="L10" s="140" t="s">
        <v>34</v>
      </c>
      <c r="M10" s="140" t="s">
        <v>33</v>
      </c>
      <c r="N10" s="140" t="s">
        <v>75</v>
      </c>
      <c r="O10" s="140" t="s">
        <v>87</v>
      </c>
      <c r="P10" s="69" t="s">
        <v>166</v>
      </c>
      <c r="Q10" s="44"/>
      <c r="R10" s="44"/>
      <c r="S10" s="196">
        <f t="shared" si="0"/>
        <v>9</v>
      </c>
    </row>
    <row r="11" spans="2:19" x14ac:dyDescent="0.35">
      <c r="B11" s="22" t="s">
        <v>35</v>
      </c>
      <c r="C11" s="145" t="s">
        <v>120</v>
      </c>
      <c r="D11" s="145" t="s">
        <v>62</v>
      </c>
      <c r="E11" s="145" t="s">
        <v>66</v>
      </c>
      <c r="F11" s="145" t="s">
        <v>64</v>
      </c>
      <c r="G11" s="145" t="s">
        <v>60</v>
      </c>
      <c r="H11" s="145" t="s">
        <v>89</v>
      </c>
      <c r="I11" s="145" t="s">
        <v>79</v>
      </c>
      <c r="J11" s="145" t="s">
        <v>74</v>
      </c>
      <c r="K11" s="145" t="s">
        <v>67</v>
      </c>
      <c r="L11" s="145" t="s">
        <v>34</v>
      </c>
      <c r="M11" s="145" t="s">
        <v>118</v>
      </c>
      <c r="N11" s="145" t="s">
        <v>90</v>
      </c>
      <c r="O11" s="145" t="s">
        <v>87</v>
      </c>
      <c r="P11" s="69" t="s">
        <v>166</v>
      </c>
      <c r="Q11" s="44"/>
      <c r="R11" s="44"/>
      <c r="S11" s="197">
        <f t="shared" si="0"/>
        <v>8</v>
      </c>
    </row>
    <row r="12" spans="2:19" x14ac:dyDescent="0.35">
      <c r="B12" s="29" t="s">
        <v>36</v>
      </c>
      <c r="C12" s="142" t="s">
        <v>120</v>
      </c>
      <c r="D12" s="142" t="s">
        <v>62</v>
      </c>
      <c r="E12" s="142" t="s">
        <v>117</v>
      </c>
      <c r="F12" s="142" t="s">
        <v>58</v>
      </c>
      <c r="G12" s="142" t="s">
        <v>60</v>
      </c>
      <c r="H12" s="142" t="s">
        <v>89</v>
      </c>
      <c r="I12" s="142" t="s">
        <v>79</v>
      </c>
      <c r="J12" s="142" t="s">
        <v>74</v>
      </c>
      <c r="K12" s="142" t="s">
        <v>67</v>
      </c>
      <c r="L12" s="142" t="s">
        <v>34</v>
      </c>
      <c r="M12" s="142" t="s">
        <v>118</v>
      </c>
      <c r="N12" s="142" t="s">
        <v>90</v>
      </c>
      <c r="O12" s="142" t="s">
        <v>87</v>
      </c>
      <c r="P12" s="69" t="s">
        <v>166</v>
      </c>
      <c r="Q12" s="44"/>
      <c r="R12" s="44"/>
      <c r="S12" s="196">
        <f t="shared" si="0"/>
        <v>8</v>
      </c>
    </row>
    <row r="13" spans="2:19" x14ac:dyDescent="0.35">
      <c r="B13" s="29" t="s">
        <v>37</v>
      </c>
      <c r="C13" s="153" t="s">
        <v>122</v>
      </c>
      <c r="D13" s="153" t="s">
        <v>62</v>
      </c>
      <c r="E13" s="153" t="s">
        <v>117</v>
      </c>
      <c r="F13" s="153" t="s">
        <v>58</v>
      </c>
      <c r="G13" s="153" t="s">
        <v>60</v>
      </c>
      <c r="H13" s="153" t="s">
        <v>89</v>
      </c>
      <c r="I13" s="153" t="s">
        <v>79</v>
      </c>
      <c r="J13" s="153" t="s">
        <v>74</v>
      </c>
      <c r="K13" s="153" t="s">
        <v>67</v>
      </c>
      <c r="L13" s="153" t="s">
        <v>34</v>
      </c>
      <c r="M13" s="153" t="s">
        <v>33</v>
      </c>
      <c r="N13" s="153" t="s">
        <v>90</v>
      </c>
      <c r="O13" s="153" t="s">
        <v>87</v>
      </c>
      <c r="P13" s="69" t="s">
        <v>166</v>
      </c>
      <c r="Q13" s="69"/>
      <c r="R13" s="47"/>
      <c r="S13" s="197">
        <f t="shared" si="0"/>
        <v>8</v>
      </c>
    </row>
    <row r="14" spans="2:19" ht="15" thickBot="1" x14ac:dyDescent="0.4">
      <c r="B14" s="53" t="s">
        <v>57</v>
      </c>
      <c r="C14" s="153" t="s">
        <v>120</v>
      </c>
      <c r="D14" s="153" t="s">
        <v>62</v>
      </c>
      <c r="E14" s="153" t="s">
        <v>66</v>
      </c>
      <c r="F14" s="153" t="s">
        <v>58</v>
      </c>
      <c r="G14" s="153" t="s">
        <v>60</v>
      </c>
      <c r="H14" s="153" t="s">
        <v>89</v>
      </c>
      <c r="I14" s="153" t="s">
        <v>63</v>
      </c>
      <c r="J14" s="153" t="s">
        <v>74</v>
      </c>
      <c r="K14" s="153" t="s">
        <v>61</v>
      </c>
      <c r="L14" s="153" t="s">
        <v>34</v>
      </c>
      <c r="M14" s="153" t="s">
        <v>33</v>
      </c>
      <c r="N14" s="153" t="s">
        <v>90</v>
      </c>
      <c r="O14" s="153" t="s">
        <v>87</v>
      </c>
      <c r="P14" s="69" t="s">
        <v>166</v>
      </c>
      <c r="Q14" s="47"/>
      <c r="R14" s="47"/>
      <c r="S14" s="227">
        <f t="shared" si="0"/>
        <v>10</v>
      </c>
    </row>
    <row r="15" spans="2:19" ht="15.5" thickTop="1" thickBot="1" x14ac:dyDescent="0.4">
      <c r="B15" s="22" t="s">
        <v>183</v>
      </c>
      <c r="C15" s="60" t="s">
        <v>91</v>
      </c>
      <c r="D15" s="61" t="s">
        <v>77</v>
      </c>
      <c r="E15" s="61" t="s">
        <v>121</v>
      </c>
      <c r="F15" s="61" t="s">
        <v>68</v>
      </c>
      <c r="G15" s="61" t="s">
        <v>76</v>
      </c>
      <c r="H15" s="61" t="s">
        <v>72</v>
      </c>
      <c r="I15" s="61"/>
      <c r="J15" s="61"/>
      <c r="K15" s="62"/>
      <c r="L15" s="62"/>
      <c r="M15" s="62"/>
      <c r="N15" s="62"/>
      <c r="O15" s="62"/>
      <c r="P15" s="63"/>
      <c r="Q15" s="52"/>
      <c r="R15" s="52"/>
    </row>
    <row r="16" spans="2:19" ht="15" thickTop="1" x14ac:dyDescent="0.35"/>
    <row r="17" spans="2:16" ht="15" thickBot="1" x14ac:dyDescent="0.4"/>
    <row r="18" spans="2:16" ht="15.5" thickTop="1" thickBot="1" x14ac:dyDescent="0.4">
      <c r="B18" s="54" t="s">
        <v>0</v>
      </c>
      <c r="C18" s="90" t="s">
        <v>221</v>
      </c>
      <c r="D18" s="90" t="s">
        <v>222</v>
      </c>
      <c r="E18" s="90" t="s">
        <v>223</v>
      </c>
      <c r="F18" s="90" t="s">
        <v>224</v>
      </c>
      <c r="G18" s="90" t="s">
        <v>225</v>
      </c>
      <c r="H18" s="90" t="s">
        <v>226</v>
      </c>
      <c r="I18" s="90" t="s">
        <v>227</v>
      </c>
      <c r="J18" s="90" t="s">
        <v>228</v>
      </c>
      <c r="K18" s="90" t="s">
        <v>229</v>
      </c>
      <c r="L18" s="90" t="s">
        <v>230</v>
      </c>
      <c r="M18" s="90" t="s">
        <v>231</v>
      </c>
      <c r="N18" s="90" t="s">
        <v>232</v>
      </c>
      <c r="O18" s="91" t="s">
        <v>233</v>
      </c>
      <c r="P18" s="56" t="s">
        <v>182</v>
      </c>
    </row>
    <row r="19" spans="2:16" ht="15.5" thickTop="1" thickBot="1" x14ac:dyDescent="0.4">
      <c r="B19" s="49" t="s">
        <v>1</v>
      </c>
      <c r="C19" s="94" t="s">
        <v>23</v>
      </c>
      <c r="D19" s="94" t="s">
        <v>20</v>
      </c>
      <c r="E19" s="94" t="s">
        <v>111</v>
      </c>
      <c r="F19" s="94" t="s">
        <v>20</v>
      </c>
      <c r="G19" s="94" t="s">
        <v>19</v>
      </c>
      <c r="H19" s="94" t="s">
        <v>377</v>
      </c>
      <c r="I19" s="94" t="s">
        <v>378</v>
      </c>
      <c r="J19" s="94" t="s">
        <v>27</v>
      </c>
      <c r="K19" s="94" t="s">
        <v>19</v>
      </c>
      <c r="L19" s="94" t="s">
        <v>113</v>
      </c>
      <c r="M19" s="94" t="s">
        <v>111</v>
      </c>
      <c r="N19" s="94" t="s">
        <v>141</v>
      </c>
      <c r="O19" s="101" t="s">
        <v>377</v>
      </c>
      <c r="P19" s="51" t="s">
        <v>165</v>
      </c>
    </row>
    <row r="20" spans="2:16" ht="15" thickTop="1" x14ac:dyDescent="0.35">
      <c r="B20" s="103" t="s">
        <v>3</v>
      </c>
      <c r="C20" s="95">
        <f>IF(C6="TEN",1,"-")</f>
        <v>1</v>
      </c>
      <c r="D20" s="119" t="str">
        <f>IF(D6="tie",1,"-")</f>
        <v>-</v>
      </c>
      <c r="E20" s="119">
        <f>IF(E6="hou",1,"-")</f>
        <v>1</v>
      </c>
      <c r="F20" s="119" t="str">
        <f>IF(F6="atl",1,"-")</f>
        <v>-</v>
      </c>
      <c r="G20" s="119">
        <f>IF(G6="kc",1,"-")</f>
        <v>1</v>
      </c>
      <c r="H20" s="119">
        <f>IF(H6="ne",1,"-")</f>
        <v>1</v>
      </c>
      <c r="I20" s="119">
        <f>IF(I6="nyj",1,"-")</f>
        <v>1</v>
      </c>
      <c r="J20" s="119">
        <f>IF(J6="oak",1,"-")</f>
        <v>1</v>
      </c>
      <c r="K20" s="119" t="str">
        <f>IF(K6="NO",1,"-")</f>
        <v>-</v>
      </c>
      <c r="L20" s="119">
        <f>IF(L6="den",1,"-")</f>
        <v>1</v>
      </c>
      <c r="M20" s="119">
        <f>IF(M6="CAr",1,"-")</f>
        <v>1</v>
      </c>
      <c r="N20" s="119">
        <f>IF(N6="dal",1,"-")</f>
        <v>1</v>
      </c>
      <c r="O20" s="96" t="str">
        <f>IF(O6="chi",1,"-")</f>
        <v>-</v>
      </c>
      <c r="P20" s="57" t="str">
        <f t="shared" ref="P20:P28" si="1">IF(P6="",1,"-")</f>
        <v>-</v>
      </c>
    </row>
    <row r="21" spans="2:16" x14ac:dyDescent="0.35">
      <c r="B21" s="104" t="s">
        <v>29</v>
      </c>
      <c r="C21" s="97">
        <f t="shared" ref="C21:C28" si="2">IF(C7="TEN",1,"-")</f>
        <v>1</v>
      </c>
      <c r="D21" s="157" t="str">
        <f t="shared" ref="D21:D28" si="3">IF(D7="tie",1,"-")</f>
        <v>-</v>
      </c>
      <c r="E21" s="157" t="str">
        <f t="shared" ref="E21:E28" si="4">IF(E7="hou",1,"-")</f>
        <v>-</v>
      </c>
      <c r="F21" s="157">
        <f t="shared" ref="F21:F28" si="5">IF(F7="atl",1,"-")</f>
        <v>1</v>
      </c>
      <c r="G21" s="157">
        <f t="shared" ref="G21:G28" si="6">IF(G7="kc",1,"-")</f>
        <v>1</v>
      </c>
      <c r="H21" s="157">
        <f t="shared" ref="H21:H28" si="7">IF(H7="ne",1,"-")</f>
        <v>1</v>
      </c>
      <c r="I21" s="157">
        <f t="shared" ref="I21:I28" si="8">IF(I7="nyj",1,"-")</f>
        <v>1</v>
      </c>
      <c r="J21" s="157">
        <f t="shared" ref="J21:J28" si="9">IF(J7="oak",1,"-")</f>
        <v>1</v>
      </c>
      <c r="K21" s="157" t="str">
        <f t="shared" ref="K21:K28" si="10">IF(K7="NO",1,"-")</f>
        <v>-</v>
      </c>
      <c r="L21" s="157" t="str">
        <f t="shared" ref="L21:L28" si="11">IF(L7="den",1,"-")</f>
        <v>-</v>
      </c>
      <c r="M21" s="157" t="str">
        <f t="shared" ref="M21:M28" si="12">IF(M7="CAr",1,"-")</f>
        <v>-</v>
      </c>
      <c r="N21" s="157">
        <f t="shared" ref="N21:N28" si="13">IF(N7="dal",1,"-")</f>
        <v>1</v>
      </c>
      <c r="O21" s="98" t="str">
        <f t="shared" ref="O21:O28" si="14">IF(O7="chi",1,"-")</f>
        <v>-</v>
      </c>
      <c r="P21" s="57" t="str">
        <f t="shared" si="1"/>
        <v>-</v>
      </c>
    </row>
    <row r="22" spans="2:16" x14ac:dyDescent="0.35">
      <c r="B22" s="103" t="s">
        <v>30</v>
      </c>
      <c r="C22" s="97">
        <f t="shared" si="2"/>
        <v>1</v>
      </c>
      <c r="D22" s="157" t="str">
        <f t="shared" si="3"/>
        <v>-</v>
      </c>
      <c r="E22" s="157">
        <f t="shared" si="4"/>
        <v>1</v>
      </c>
      <c r="F22" s="157">
        <f t="shared" si="5"/>
        <v>1</v>
      </c>
      <c r="G22" s="157" t="str">
        <f t="shared" si="6"/>
        <v>-</v>
      </c>
      <c r="H22" s="157">
        <f t="shared" si="7"/>
        <v>1</v>
      </c>
      <c r="I22" s="157">
        <f t="shared" si="8"/>
        <v>1</v>
      </c>
      <c r="J22" s="157">
        <f t="shared" si="9"/>
        <v>1</v>
      </c>
      <c r="K22" s="157" t="str">
        <f t="shared" si="10"/>
        <v>-</v>
      </c>
      <c r="L22" s="157">
        <f t="shared" si="11"/>
        <v>1</v>
      </c>
      <c r="M22" s="157" t="str">
        <f t="shared" si="12"/>
        <v>-</v>
      </c>
      <c r="N22" s="157">
        <f t="shared" si="13"/>
        <v>1</v>
      </c>
      <c r="O22" s="98" t="str">
        <f t="shared" si="14"/>
        <v>-</v>
      </c>
      <c r="P22" s="57" t="str">
        <f t="shared" si="1"/>
        <v>-</v>
      </c>
    </row>
    <row r="23" spans="2:16" x14ac:dyDescent="0.35">
      <c r="B23" s="104" t="s">
        <v>31</v>
      </c>
      <c r="C23" s="97" t="str">
        <f t="shared" si="2"/>
        <v>-</v>
      </c>
      <c r="D23" s="157" t="str">
        <f t="shared" si="3"/>
        <v>-</v>
      </c>
      <c r="E23" s="157">
        <f t="shared" si="4"/>
        <v>1</v>
      </c>
      <c r="F23" s="157" t="str">
        <f t="shared" si="5"/>
        <v>-</v>
      </c>
      <c r="G23" s="157">
        <f t="shared" si="6"/>
        <v>1</v>
      </c>
      <c r="H23" s="157">
        <f t="shared" si="7"/>
        <v>1</v>
      </c>
      <c r="I23" s="157" t="str">
        <f t="shared" si="8"/>
        <v>-</v>
      </c>
      <c r="J23" s="157">
        <f t="shared" si="9"/>
        <v>1</v>
      </c>
      <c r="K23" s="157" t="str">
        <f t="shared" si="10"/>
        <v>-</v>
      </c>
      <c r="L23" s="157" t="str">
        <f t="shared" si="11"/>
        <v>-</v>
      </c>
      <c r="M23" s="157" t="str">
        <f t="shared" si="12"/>
        <v>-</v>
      </c>
      <c r="N23" s="157">
        <f t="shared" si="13"/>
        <v>1</v>
      </c>
      <c r="O23" s="98" t="str">
        <f t="shared" si="14"/>
        <v>-</v>
      </c>
      <c r="P23" s="57" t="str">
        <f t="shared" si="1"/>
        <v>-</v>
      </c>
    </row>
    <row r="24" spans="2:16" x14ac:dyDescent="0.35">
      <c r="B24" s="103" t="s">
        <v>32</v>
      </c>
      <c r="C24" s="97">
        <f t="shared" si="2"/>
        <v>1</v>
      </c>
      <c r="D24" s="157" t="str">
        <f t="shared" si="3"/>
        <v>-</v>
      </c>
      <c r="E24" s="157">
        <f t="shared" si="4"/>
        <v>1</v>
      </c>
      <c r="F24" s="157">
        <f t="shared" si="5"/>
        <v>1</v>
      </c>
      <c r="G24" s="157">
        <f t="shared" si="6"/>
        <v>1</v>
      </c>
      <c r="H24" s="157">
        <f t="shared" si="7"/>
        <v>1</v>
      </c>
      <c r="I24" s="157">
        <f t="shared" si="8"/>
        <v>1</v>
      </c>
      <c r="J24" s="157">
        <f t="shared" si="9"/>
        <v>1</v>
      </c>
      <c r="K24" s="157" t="str">
        <f t="shared" si="10"/>
        <v>-</v>
      </c>
      <c r="L24" s="157">
        <f t="shared" si="11"/>
        <v>1</v>
      </c>
      <c r="M24" s="157">
        <f t="shared" si="12"/>
        <v>1</v>
      </c>
      <c r="N24" s="157" t="str">
        <f t="shared" si="13"/>
        <v>-</v>
      </c>
      <c r="O24" s="98" t="str">
        <f t="shared" si="14"/>
        <v>-</v>
      </c>
      <c r="P24" s="57" t="str">
        <f t="shared" si="1"/>
        <v>-</v>
      </c>
    </row>
    <row r="25" spans="2:16" x14ac:dyDescent="0.35">
      <c r="B25" s="104" t="s">
        <v>35</v>
      </c>
      <c r="C25" s="97">
        <f t="shared" si="2"/>
        <v>1</v>
      </c>
      <c r="D25" s="157" t="str">
        <f t="shared" si="3"/>
        <v>-</v>
      </c>
      <c r="E25" s="157">
        <f t="shared" si="4"/>
        <v>1</v>
      </c>
      <c r="F25" s="157" t="str">
        <f t="shared" si="5"/>
        <v>-</v>
      </c>
      <c r="G25" s="157">
        <f t="shared" si="6"/>
        <v>1</v>
      </c>
      <c r="H25" s="157">
        <f t="shared" si="7"/>
        <v>1</v>
      </c>
      <c r="I25" s="157">
        <f t="shared" si="8"/>
        <v>1</v>
      </c>
      <c r="J25" s="157">
        <f t="shared" si="9"/>
        <v>1</v>
      </c>
      <c r="K25" s="157" t="str">
        <f t="shared" si="10"/>
        <v>-</v>
      </c>
      <c r="L25" s="157">
        <f t="shared" si="11"/>
        <v>1</v>
      </c>
      <c r="M25" s="157" t="str">
        <f t="shared" si="12"/>
        <v>-</v>
      </c>
      <c r="N25" s="157">
        <f t="shared" si="13"/>
        <v>1</v>
      </c>
      <c r="O25" s="98" t="str">
        <f t="shared" si="14"/>
        <v>-</v>
      </c>
      <c r="P25" s="57" t="str">
        <f t="shared" si="1"/>
        <v>-</v>
      </c>
    </row>
    <row r="26" spans="2:16" x14ac:dyDescent="0.35">
      <c r="B26" s="103" t="s">
        <v>36</v>
      </c>
      <c r="C26" s="97">
        <f t="shared" si="2"/>
        <v>1</v>
      </c>
      <c r="D26" s="157" t="str">
        <f t="shared" si="3"/>
        <v>-</v>
      </c>
      <c r="E26" s="157" t="str">
        <f t="shared" si="4"/>
        <v>-</v>
      </c>
      <c r="F26" s="157">
        <f t="shared" si="5"/>
        <v>1</v>
      </c>
      <c r="G26" s="157">
        <f t="shared" si="6"/>
        <v>1</v>
      </c>
      <c r="H26" s="157">
        <f t="shared" si="7"/>
        <v>1</v>
      </c>
      <c r="I26" s="157">
        <f t="shared" si="8"/>
        <v>1</v>
      </c>
      <c r="J26" s="157">
        <f t="shared" si="9"/>
        <v>1</v>
      </c>
      <c r="K26" s="157" t="str">
        <f t="shared" si="10"/>
        <v>-</v>
      </c>
      <c r="L26" s="157">
        <f t="shared" si="11"/>
        <v>1</v>
      </c>
      <c r="M26" s="157" t="str">
        <f t="shared" si="12"/>
        <v>-</v>
      </c>
      <c r="N26" s="157">
        <f t="shared" si="13"/>
        <v>1</v>
      </c>
      <c r="O26" s="98" t="str">
        <f t="shared" si="14"/>
        <v>-</v>
      </c>
      <c r="P26" s="57" t="str">
        <f t="shared" si="1"/>
        <v>-</v>
      </c>
    </row>
    <row r="27" spans="2:16" x14ac:dyDescent="0.35">
      <c r="B27" s="104" t="s">
        <v>37</v>
      </c>
      <c r="C27" s="97" t="str">
        <f t="shared" si="2"/>
        <v>-</v>
      </c>
      <c r="D27" s="157" t="str">
        <f t="shared" si="3"/>
        <v>-</v>
      </c>
      <c r="E27" s="157" t="str">
        <f t="shared" si="4"/>
        <v>-</v>
      </c>
      <c r="F27" s="157">
        <f t="shared" si="5"/>
        <v>1</v>
      </c>
      <c r="G27" s="157">
        <f t="shared" si="6"/>
        <v>1</v>
      </c>
      <c r="H27" s="157">
        <f t="shared" si="7"/>
        <v>1</v>
      </c>
      <c r="I27" s="157">
        <f t="shared" si="8"/>
        <v>1</v>
      </c>
      <c r="J27" s="157">
        <f t="shared" si="9"/>
        <v>1</v>
      </c>
      <c r="K27" s="157" t="str">
        <f t="shared" si="10"/>
        <v>-</v>
      </c>
      <c r="L27" s="157">
        <f t="shared" si="11"/>
        <v>1</v>
      </c>
      <c r="M27" s="157">
        <f t="shared" si="12"/>
        <v>1</v>
      </c>
      <c r="N27" s="157">
        <f t="shared" si="13"/>
        <v>1</v>
      </c>
      <c r="O27" s="98" t="str">
        <f t="shared" si="14"/>
        <v>-</v>
      </c>
      <c r="P27" s="57" t="str">
        <f t="shared" si="1"/>
        <v>-</v>
      </c>
    </row>
    <row r="28" spans="2:16" ht="15" thickBot="1" x14ac:dyDescent="0.4">
      <c r="B28" s="105" t="s">
        <v>57</v>
      </c>
      <c r="C28" s="99">
        <f t="shared" si="2"/>
        <v>1</v>
      </c>
      <c r="D28" s="74" t="str">
        <f t="shared" si="3"/>
        <v>-</v>
      </c>
      <c r="E28" s="74">
        <f t="shared" si="4"/>
        <v>1</v>
      </c>
      <c r="F28" s="74">
        <f t="shared" si="5"/>
        <v>1</v>
      </c>
      <c r="G28" s="74">
        <f t="shared" si="6"/>
        <v>1</v>
      </c>
      <c r="H28" s="74">
        <f t="shared" si="7"/>
        <v>1</v>
      </c>
      <c r="I28" s="74" t="str">
        <f t="shared" si="8"/>
        <v>-</v>
      </c>
      <c r="J28" s="74">
        <f t="shared" si="9"/>
        <v>1</v>
      </c>
      <c r="K28" s="74">
        <f t="shared" si="10"/>
        <v>1</v>
      </c>
      <c r="L28" s="74">
        <f t="shared" si="11"/>
        <v>1</v>
      </c>
      <c r="M28" s="74">
        <f t="shared" si="12"/>
        <v>1</v>
      </c>
      <c r="N28" s="74">
        <f t="shared" si="13"/>
        <v>1</v>
      </c>
      <c r="O28" s="100" t="str">
        <f t="shared" si="14"/>
        <v>-</v>
      </c>
      <c r="P28" s="58" t="str">
        <f t="shared" si="1"/>
        <v>-</v>
      </c>
    </row>
    <row r="29" spans="2:16" ht="15" thickTop="1" x14ac:dyDescent="0.35"/>
  </sheetData>
  <mergeCells count="1">
    <mergeCell ref="S4:S5"/>
  </mergeCells>
  <conditionalFormatting sqref="A1:XFD3 A16:XFD17 A4:A15 T4:XFD15 A29:XFD1048576 A18:A28 Q18:XFD28">
    <cfRule type="cellIs" dxfId="3567" priority="130" operator="equal">
      <formula>"PHI"</formula>
    </cfRule>
    <cfRule type="cellIs" dxfId="3566" priority="131" operator="equal">
      <formula>"GB"</formula>
    </cfRule>
    <cfRule type="cellIs" dxfId="3565" priority="132" operator="equal">
      <formula>"MIN"</formula>
    </cfRule>
    <cfRule type="cellIs" dxfId="3564" priority="133" operator="equal">
      <formula>"NYG"</formula>
    </cfRule>
    <cfRule type="cellIs" dxfId="3563" priority="134" operator="equal">
      <formula>"PIT"</formula>
    </cfRule>
    <cfRule type="cellIs" dxfId="3562" priority="135" operator="equal">
      <formula>"KC"</formula>
    </cfRule>
    <cfRule type="cellIs" dxfId="3561" priority="136" operator="equal">
      <formula>"ARI"</formula>
    </cfRule>
    <cfRule type="cellIs" dxfId="3560" priority="137" operator="equal">
      <formula>"LA"</formula>
    </cfRule>
    <cfRule type="cellIs" dxfId="3559" priority="138" operator="equal">
      <formula>"SD"</formula>
    </cfRule>
    <cfRule type="cellIs" dxfId="3558" priority="139" operator="equal">
      <formula>"NO"</formula>
    </cfRule>
    <cfRule type="cellIs" dxfId="3557" priority="140" operator="equal">
      <formula>"SF"</formula>
    </cfRule>
    <cfRule type="cellIs" dxfId="3556" priority="141" operator="equal">
      <formula>"DAL"</formula>
    </cfRule>
    <cfRule type="cellIs" dxfId="3555" priority="142" operator="equal">
      <formula>"TB"</formula>
    </cfRule>
    <cfRule type="cellIs" dxfId="3554" priority="143" operator="equal">
      <formula>"DEN"</formula>
    </cfRule>
    <cfRule type="cellIs" dxfId="3553" priority="144" operator="equal">
      <formula>"BAL"</formula>
    </cfRule>
    <cfRule type="cellIs" dxfId="3552" priority="145" operator="equal">
      <formula>"OAK"</formula>
    </cfRule>
    <cfRule type="cellIs" dxfId="3551" priority="146" operator="equal">
      <formula>"HOU"</formula>
    </cfRule>
    <cfRule type="cellIs" dxfId="3550" priority="147" operator="equal">
      <formula>"TEN"</formula>
    </cfRule>
    <cfRule type="cellIs" dxfId="3549" priority="148" operator="equal">
      <formula>"CHI"</formula>
    </cfRule>
    <cfRule type="cellIs" dxfId="3548" priority="149" operator="equal">
      <formula>"DET"</formula>
    </cfRule>
    <cfRule type="cellIs" dxfId="3547" priority="150" operator="equal">
      <formula>"ATL"</formula>
    </cfRule>
    <cfRule type="cellIs" dxfId="3546" priority="151" operator="equal">
      <formula>"CAR"</formula>
    </cfRule>
    <cfRule type="cellIs" dxfId="3545" priority="152" operator="equal">
      <formula>"IND"</formula>
    </cfRule>
    <cfRule type="cellIs" dxfId="3544" priority="153" operator="equal">
      <formula>"JAX"</formula>
    </cfRule>
    <cfRule type="cellIs" dxfId="3543" priority="154" operator="equal">
      <formula>"NYJ"</formula>
    </cfRule>
    <cfRule type="cellIs" dxfId="3542" priority="155" operator="equal">
      <formula>"SEA"</formula>
    </cfRule>
    <cfRule type="cellIs" dxfId="3541" priority="156" operator="equal">
      <formula>"NE"</formula>
    </cfRule>
    <cfRule type="cellIs" dxfId="3540" priority="157" operator="equal">
      <formula>"BUF"</formula>
    </cfRule>
    <cfRule type="cellIs" dxfId="3539" priority="158" operator="equal">
      <formula>"WAS"</formula>
    </cfRule>
    <cfRule type="cellIs" dxfId="3538" priority="159" operator="equal">
      <formula>"CLE"</formula>
    </cfRule>
    <cfRule type="cellIs" dxfId="3537" priority="160" operator="equal">
      <formula>"CIN"</formula>
    </cfRule>
    <cfRule type="cellIs" dxfId="3536" priority="161" operator="equal">
      <formula>"MIA"</formula>
    </cfRule>
  </conditionalFormatting>
  <conditionalFormatting sqref="B4:S15">
    <cfRule type="cellIs" dxfId="3535" priority="98" operator="equal">
      <formula>"PHI"</formula>
    </cfRule>
    <cfRule type="cellIs" dxfId="3534" priority="99" operator="equal">
      <formula>"GB"</formula>
    </cfRule>
    <cfRule type="cellIs" dxfId="3533" priority="100" operator="equal">
      <formula>"MIN"</formula>
    </cfRule>
    <cfRule type="cellIs" dxfId="3532" priority="101" operator="equal">
      <formula>"NYG"</formula>
    </cfRule>
    <cfRule type="cellIs" dxfId="3531" priority="102" operator="equal">
      <formula>"PIT"</formula>
    </cfRule>
    <cfRule type="cellIs" dxfId="3530" priority="103" operator="equal">
      <formula>"KC"</formula>
    </cfRule>
    <cfRule type="cellIs" dxfId="3529" priority="104" operator="equal">
      <formula>"ARI"</formula>
    </cfRule>
    <cfRule type="cellIs" dxfId="3528" priority="105" operator="equal">
      <formula>"LA"</formula>
    </cfRule>
    <cfRule type="cellIs" dxfId="3527" priority="106" operator="equal">
      <formula>"SD"</formula>
    </cfRule>
    <cfRule type="cellIs" dxfId="3526" priority="107" operator="equal">
      <formula>"NO"</formula>
    </cfRule>
    <cfRule type="cellIs" dxfId="3525" priority="108" operator="equal">
      <formula>"SF"</formula>
    </cfRule>
    <cfRule type="cellIs" dxfId="3524" priority="109" operator="equal">
      <formula>"DAL"</formula>
    </cfRule>
    <cfRule type="cellIs" dxfId="3523" priority="110" operator="equal">
      <formula>"TB"</formula>
    </cfRule>
    <cfRule type="cellIs" dxfId="3522" priority="111" operator="equal">
      <formula>"DEN"</formula>
    </cfRule>
    <cfRule type="cellIs" dxfId="3521" priority="112" operator="equal">
      <formula>"BAL"</formula>
    </cfRule>
    <cfRule type="cellIs" dxfId="3520" priority="113" operator="equal">
      <formula>"OAK"</formula>
    </cfRule>
    <cfRule type="cellIs" dxfId="3519" priority="114" operator="equal">
      <formula>"HOU"</formula>
    </cfRule>
    <cfRule type="cellIs" dxfId="3518" priority="115" operator="equal">
      <formula>"TEN"</formula>
    </cfRule>
    <cfRule type="cellIs" dxfId="3517" priority="116" operator="equal">
      <formula>"CHI"</formula>
    </cfRule>
    <cfRule type="cellIs" dxfId="3516" priority="117" operator="equal">
      <formula>"DET"</formula>
    </cfRule>
    <cfRule type="cellIs" dxfId="3515" priority="118" operator="equal">
      <formula>"ATL"</formula>
    </cfRule>
    <cfRule type="cellIs" dxfId="3514" priority="119" operator="equal">
      <formula>"CAR"</formula>
    </cfRule>
    <cfRule type="cellIs" dxfId="3513" priority="120" operator="equal">
      <formula>"IND"</formula>
    </cfRule>
    <cfRule type="cellIs" dxfId="3512" priority="121" operator="equal">
      <formula>"JAX"</formula>
    </cfRule>
    <cfRule type="cellIs" dxfId="3511" priority="122" operator="equal">
      <formula>"NYJ"</formula>
    </cfRule>
    <cfRule type="cellIs" dxfId="3510" priority="123" operator="equal">
      <formula>"SEA"</formula>
    </cfRule>
    <cfRule type="cellIs" dxfId="3509" priority="124" operator="equal">
      <formula>"NE"</formula>
    </cfRule>
    <cfRule type="cellIs" dxfId="3508" priority="125" operator="equal">
      <formula>"BUF"</formula>
    </cfRule>
    <cfRule type="cellIs" dxfId="3507" priority="126" operator="equal">
      <formula>"WAS"</formula>
    </cfRule>
    <cfRule type="cellIs" dxfId="3506" priority="127" operator="equal">
      <formula>"CLE"</formula>
    </cfRule>
    <cfRule type="cellIs" dxfId="3505" priority="128" operator="equal">
      <formula>"CIN"</formula>
    </cfRule>
    <cfRule type="cellIs" dxfId="3504" priority="129" operator="equal">
      <formula>"MIA"</formula>
    </cfRule>
  </conditionalFormatting>
  <conditionalFormatting sqref="P18:P19 B20:P28">
    <cfRule type="cellIs" dxfId="3503" priority="66" operator="equal">
      <formula>"PHI"</formula>
    </cfRule>
    <cfRule type="cellIs" dxfId="3502" priority="67" operator="equal">
      <formula>"GB"</formula>
    </cfRule>
    <cfRule type="cellIs" dxfId="3501" priority="68" operator="equal">
      <formula>"MIN"</formula>
    </cfRule>
    <cfRule type="cellIs" dxfId="3500" priority="69" operator="equal">
      <formula>"NYG"</formula>
    </cfRule>
    <cfRule type="cellIs" dxfId="3499" priority="70" operator="equal">
      <formula>"PIT"</formula>
    </cfRule>
    <cfRule type="cellIs" dxfId="3498" priority="71" operator="equal">
      <formula>"KC"</formula>
    </cfRule>
    <cfRule type="cellIs" dxfId="3497" priority="72" operator="equal">
      <formula>"ARI"</formula>
    </cfRule>
    <cfRule type="cellIs" dxfId="3496" priority="73" operator="equal">
      <formula>"LA"</formula>
    </cfRule>
    <cfRule type="cellIs" dxfId="3495" priority="74" operator="equal">
      <formula>"SD"</formula>
    </cfRule>
    <cfRule type="cellIs" dxfId="3494" priority="75" operator="equal">
      <formula>"NO"</formula>
    </cfRule>
    <cfRule type="cellIs" dxfId="3493" priority="76" operator="equal">
      <formula>"SF"</formula>
    </cfRule>
    <cfRule type="cellIs" dxfId="3492" priority="77" operator="equal">
      <formula>"DAL"</formula>
    </cfRule>
    <cfRule type="cellIs" dxfId="3491" priority="78" operator="equal">
      <formula>"TB"</formula>
    </cfRule>
    <cfRule type="cellIs" dxfId="3490" priority="79" operator="equal">
      <formula>"DEN"</formula>
    </cfRule>
    <cfRule type="cellIs" dxfId="3489" priority="80" operator="equal">
      <formula>"BAL"</formula>
    </cfRule>
    <cfRule type="cellIs" dxfId="3488" priority="81" operator="equal">
      <formula>"OAK"</formula>
    </cfRule>
    <cfRule type="cellIs" dxfId="3487" priority="82" operator="equal">
      <formula>"HOU"</formula>
    </cfRule>
    <cfRule type="cellIs" dxfId="3486" priority="83" operator="equal">
      <formula>"TEN"</formula>
    </cfRule>
    <cfRule type="cellIs" dxfId="3485" priority="84" operator="equal">
      <formula>"CHI"</formula>
    </cfRule>
    <cfRule type="cellIs" dxfId="3484" priority="85" operator="equal">
      <formula>"DET"</formula>
    </cfRule>
    <cfRule type="cellIs" dxfId="3483" priority="86" operator="equal">
      <formula>"ATL"</formula>
    </cfRule>
    <cfRule type="cellIs" dxfId="3482" priority="87" operator="equal">
      <formula>"CAR"</formula>
    </cfRule>
    <cfRule type="cellIs" dxfId="3481" priority="88" operator="equal">
      <formula>"IND"</formula>
    </cfRule>
    <cfRule type="cellIs" dxfId="3480" priority="89" operator="equal">
      <formula>"JAX"</formula>
    </cfRule>
    <cfRule type="cellIs" dxfId="3479" priority="90" operator="equal">
      <formula>"NYJ"</formula>
    </cfRule>
    <cfRule type="cellIs" dxfId="3478" priority="91" operator="equal">
      <formula>"SEA"</formula>
    </cfRule>
    <cfRule type="cellIs" dxfId="3477" priority="92" operator="equal">
      <formula>"NE"</formula>
    </cfRule>
    <cfRule type="cellIs" dxfId="3476" priority="93" operator="equal">
      <formula>"BUF"</formula>
    </cfRule>
    <cfRule type="cellIs" dxfId="3475" priority="94" operator="equal">
      <formula>"WAS"</formula>
    </cfRule>
    <cfRule type="cellIs" dxfId="3474" priority="95" operator="equal">
      <formula>"CLE"</formula>
    </cfRule>
    <cfRule type="cellIs" dxfId="3473" priority="96" operator="equal">
      <formula>"CIN"</formula>
    </cfRule>
    <cfRule type="cellIs" dxfId="3472" priority="97" operator="equal">
      <formula>"MIA"</formula>
    </cfRule>
  </conditionalFormatting>
  <conditionalFormatting sqref="C20:P28">
    <cfRule type="colorScale" priority="65">
      <colorScale>
        <cfvo type="min"/>
        <cfvo type="max"/>
        <color rgb="FFFCFCFF"/>
        <color rgb="FF63BE7B"/>
      </colorScale>
    </cfRule>
  </conditionalFormatting>
  <conditionalFormatting sqref="B18:O18 B19">
    <cfRule type="cellIs" dxfId="3471" priority="33" operator="equal">
      <formula>"PHI"</formula>
    </cfRule>
    <cfRule type="cellIs" dxfId="3470" priority="34" operator="equal">
      <formula>"GB"</formula>
    </cfRule>
    <cfRule type="cellIs" dxfId="3469" priority="35" operator="equal">
      <formula>"MIN"</formula>
    </cfRule>
    <cfRule type="cellIs" dxfId="3468" priority="36" operator="equal">
      <formula>"NYG"</formula>
    </cfRule>
    <cfRule type="cellIs" dxfId="3467" priority="37" operator="equal">
      <formula>"PIT"</formula>
    </cfRule>
    <cfRule type="cellIs" dxfId="3466" priority="38" operator="equal">
      <formula>"KC"</formula>
    </cfRule>
    <cfRule type="cellIs" dxfId="3465" priority="39" operator="equal">
      <formula>"ARI"</formula>
    </cfRule>
    <cfRule type="cellIs" dxfId="3464" priority="40" operator="equal">
      <formula>"LA"</formula>
    </cfRule>
    <cfRule type="cellIs" dxfId="3463" priority="41" operator="equal">
      <formula>"SD"</formula>
    </cfRule>
    <cfRule type="cellIs" dxfId="3462" priority="42" operator="equal">
      <formula>"NO"</formula>
    </cfRule>
    <cfRule type="cellIs" dxfId="3461" priority="43" operator="equal">
      <formula>"SF"</formula>
    </cfRule>
    <cfRule type="cellIs" dxfId="3460" priority="44" operator="equal">
      <formula>"DAL"</formula>
    </cfRule>
    <cfRule type="cellIs" dxfId="3459" priority="45" operator="equal">
      <formula>"TB"</formula>
    </cfRule>
    <cfRule type="cellIs" dxfId="3458" priority="46" operator="equal">
      <formula>"DEN"</formula>
    </cfRule>
    <cfRule type="cellIs" dxfId="3457" priority="47" operator="equal">
      <formula>"BAL"</formula>
    </cfRule>
    <cfRule type="cellIs" dxfId="3456" priority="48" operator="equal">
      <formula>"OAK"</formula>
    </cfRule>
    <cfRule type="cellIs" dxfId="3455" priority="49" operator="equal">
      <formula>"HOU"</formula>
    </cfRule>
    <cfRule type="cellIs" dxfId="3454" priority="50" operator="equal">
      <formula>"TEN"</formula>
    </cfRule>
    <cfRule type="cellIs" dxfId="3453" priority="51" operator="equal">
      <formula>"CHI"</formula>
    </cfRule>
    <cfRule type="cellIs" dxfId="3452" priority="52" operator="equal">
      <formula>"DET"</formula>
    </cfRule>
    <cfRule type="cellIs" dxfId="3451" priority="53" operator="equal">
      <formula>"ATL"</formula>
    </cfRule>
    <cfRule type="cellIs" dxfId="3450" priority="54" operator="equal">
      <formula>"CAR"</formula>
    </cfRule>
    <cfRule type="cellIs" dxfId="3449" priority="55" operator="equal">
      <formula>"IND"</formula>
    </cfRule>
    <cfRule type="cellIs" dxfId="3448" priority="56" operator="equal">
      <formula>"JAX"</formula>
    </cfRule>
    <cfRule type="cellIs" dxfId="3447" priority="57" operator="equal">
      <formula>"NYJ"</formula>
    </cfRule>
    <cfRule type="cellIs" dxfId="3446" priority="58" operator="equal">
      <formula>"SEA"</formula>
    </cfRule>
    <cfRule type="cellIs" dxfId="3445" priority="59" operator="equal">
      <formula>"NE"</formula>
    </cfRule>
    <cfRule type="cellIs" dxfId="3444" priority="60" operator="equal">
      <formula>"BUF"</formula>
    </cfRule>
    <cfRule type="cellIs" dxfId="3443" priority="61" operator="equal">
      <formula>"WAS"</formula>
    </cfRule>
    <cfRule type="cellIs" dxfId="3442" priority="62" operator="equal">
      <formula>"CLE"</formula>
    </cfRule>
    <cfRule type="cellIs" dxfId="3441" priority="63" operator="equal">
      <formula>"CIN"</formula>
    </cfRule>
    <cfRule type="cellIs" dxfId="3440" priority="64" operator="equal">
      <formula>"MIA"</formula>
    </cfRule>
  </conditionalFormatting>
  <conditionalFormatting sqref="C19:O19">
    <cfRule type="cellIs" dxfId="3439" priority="1" operator="equal">
      <formula>"PHI"</formula>
    </cfRule>
    <cfRule type="cellIs" dxfId="3438" priority="2" operator="equal">
      <formula>"GB"</formula>
    </cfRule>
    <cfRule type="cellIs" dxfId="3437" priority="3" operator="equal">
      <formula>"MIN"</formula>
    </cfRule>
    <cfRule type="cellIs" dxfId="3436" priority="4" operator="equal">
      <formula>"NYG"</formula>
    </cfRule>
    <cfRule type="cellIs" dxfId="3435" priority="5" operator="equal">
      <formula>"PIT"</formula>
    </cfRule>
    <cfRule type="cellIs" dxfId="3434" priority="6" operator="equal">
      <formula>"KC"</formula>
    </cfRule>
    <cfRule type="cellIs" dxfId="3433" priority="7" operator="equal">
      <formula>"ARI"</formula>
    </cfRule>
    <cfRule type="cellIs" dxfId="3432" priority="8" operator="equal">
      <formula>"LA"</formula>
    </cfRule>
    <cfRule type="cellIs" dxfId="3431" priority="9" operator="equal">
      <formula>"SD"</formula>
    </cfRule>
    <cfRule type="cellIs" dxfId="3430" priority="10" operator="equal">
      <formula>"NO"</formula>
    </cfRule>
    <cfRule type="cellIs" dxfId="3429" priority="11" operator="equal">
      <formula>"SF"</formula>
    </cfRule>
    <cfRule type="cellIs" dxfId="3428" priority="12" operator="equal">
      <formula>"DAL"</formula>
    </cfRule>
    <cfRule type="cellIs" dxfId="3427" priority="13" operator="equal">
      <formula>"TB"</formula>
    </cfRule>
    <cfRule type="cellIs" dxfId="3426" priority="14" operator="equal">
      <formula>"DEN"</formula>
    </cfRule>
    <cfRule type="cellIs" dxfId="3425" priority="15" operator="equal">
      <formula>"BAL"</formula>
    </cfRule>
    <cfRule type="cellIs" dxfId="3424" priority="16" operator="equal">
      <formula>"OAK"</formula>
    </cfRule>
    <cfRule type="cellIs" dxfId="3423" priority="17" operator="equal">
      <formula>"HOU"</formula>
    </cfRule>
    <cfRule type="cellIs" dxfId="3422" priority="18" operator="equal">
      <formula>"TEN"</formula>
    </cfRule>
    <cfRule type="cellIs" dxfId="3421" priority="19" operator="equal">
      <formula>"CHI"</formula>
    </cfRule>
    <cfRule type="cellIs" dxfId="3420" priority="20" operator="equal">
      <formula>"DET"</formula>
    </cfRule>
    <cfRule type="cellIs" dxfId="3419" priority="21" operator="equal">
      <formula>"ATL"</formula>
    </cfRule>
    <cfRule type="cellIs" dxfId="3418" priority="22" operator="equal">
      <formula>"CAR"</formula>
    </cfRule>
    <cfRule type="cellIs" dxfId="3417" priority="23" operator="equal">
      <formula>"IND"</formula>
    </cfRule>
    <cfRule type="cellIs" dxfId="3416" priority="24" operator="equal">
      <formula>"JAX"</formula>
    </cfRule>
    <cfRule type="cellIs" dxfId="3415" priority="25" operator="equal">
      <formula>"NYJ"</formula>
    </cfRule>
    <cfRule type="cellIs" dxfId="3414" priority="26" operator="equal">
      <formula>"SEA"</formula>
    </cfRule>
    <cfRule type="cellIs" dxfId="3413" priority="27" operator="equal">
      <formula>"NE"</formula>
    </cfRule>
    <cfRule type="cellIs" dxfId="3412" priority="28" operator="equal">
      <formula>"BUF"</formula>
    </cfRule>
    <cfRule type="cellIs" dxfId="3411" priority="29" operator="equal">
      <formula>"WAS"</formula>
    </cfRule>
    <cfRule type="cellIs" dxfId="3410" priority="30" operator="equal">
      <formula>"CLE"</formula>
    </cfRule>
    <cfRule type="cellIs" dxfId="3409" priority="31" operator="equal">
      <formula>"CIN"</formula>
    </cfRule>
    <cfRule type="cellIs" dxfId="3408" priority="32" operator="equal">
      <formula>"MIA"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8"/>
  <sheetViews>
    <sheetView zoomScaleNormal="100" workbookViewId="0"/>
  </sheetViews>
  <sheetFormatPr defaultRowHeight="14.5" x14ac:dyDescent="0.35"/>
  <cols>
    <col min="1" max="1" width="8.7265625" style="41"/>
    <col min="2" max="2" width="10.90625" style="41" bestFit="1" customWidth="1"/>
    <col min="3" max="3" width="7.90625" style="41" bestFit="1" customWidth="1"/>
    <col min="4" max="4" width="9" style="41" bestFit="1" customWidth="1"/>
    <col min="5" max="5" width="9.54296875" style="41" bestFit="1" customWidth="1"/>
    <col min="6" max="6" width="8" style="41" bestFit="1" customWidth="1"/>
    <col min="7" max="7" width="9.1796875" style="41" bestFit="1" customWidth="1"/>
    <col min="8" max="8" width="9.26953125" style="41" customWidth="1"/>
    <col min="9" max="9" width="8.453125" style="41" customWidth="1"/>
    <col min="10" max="10" width="8.1796875" style="41" customWidth="1"/>
    <col min="11" max="11" width="7.26953125" style="41" customWidth="1"/>
    <col min="12" max="12" width="8.26953125" style="41" customWidth="1"/>
    <col min="13" max="13" width="8.26953125" style="41" bestFit="1" customWidth="1"/>
    <col min="14" max="14" width="10.08984375" style="41" bestFit="1" customWidth="1"/>
    <col min="15" max="15" width="9.1796875" style="41" bestFit="1" customWidth="1"/>
    <col min="16" max="16" width="8.08984375" style="41" hidden="1" customWidth="1"/>
    <col min="17" max="17" width="9.7265625" style="41" hidden="1" customWidth="1"/>
    <col min="18" max="18" width="9.08984375" style="41" hidden="1" customWidth="1"/>
    <col min="19" max="16384" width="8.7265625" style="41"/>
  </cols>
  <sheetData>
    <row r="1" spans="1:19" x14ac:dyDescent="0.35">
      <c r="A1" s="277" t="s">
        <v>371</v>
      </c>
    </row>
    <row r="3" spans="1:19" ht="15" thickBot="1" x14ac:dyDescent="0.4">
      <c r="D3" s="69"/>
    </row>
    <row r="4" spans="1:19" ht="15.5" customHeight="1" thickTop="1" thickBot="1" x14ac:dyDescent="0.4">
      <c r="B4" s="11" t="s">
        <v>0</v>
      </c>
      <c r="C4" s="82" t="s">
        <v>235</v>
      </c>
      <c r="D4" s="82" t="s">
        <v>236</v>
      </c>
      <c r="E4" s="82" t="s">
        <v>237</v>
      </c>
      <c r="F4" s="82" t="s">
        <v>238</v>
      </c>
      <c r="G4" s="82" t="s">
        <v>239</v>
      </c>
      <c r="H4" s="82" t="s">
        <v>240</v>
      </c>
      <c r="I4" s="82" t="s">
        <v>241</v>
      </c>
      <c r="J4" s="82" t="s">
        <v>242</v>
      </c>
      <c r="K4" s="82" t="s">
        <v>243</v>
      </c>
      <c r="L4" s="82" t="s">
        <v>244</v>
      </c>
      <c r="M4" s="82" t="s">
        <v>245</v>
      </c>
      <c r="N4" s="82" t="s">
        <v>246</v>
      </c>
      <c r="O4" s="82" t="s">
        <v>247</v>
      </c>
      <c r="P4" s="41" t="s">
        <v>182</v>
      </c>
      <c r="Q4" s="69" t="s">
        <v>160</v>
      </c>
      <c r="R4" s="69" t="s">
        <v>161</v>
      </c>
      <c r="S4" s="406" t="s">
        <v>92</v>
      </c>
    </row>
    <row r="5" spans="1:19" ht="15.5" thickTop="1" thickBot="1" x14ac:dyDescent="0.4">
      <c r="B5" s="26" t="s">
        <v>1</v>
      </c>
      <c r="C5" s="219" t="s">
        <v>115</v>
      </c>
      <c r="D5" s="219" t="s">
        <v>370</v>
      </c>
      <c r="E5" s="219" t="s">
        <v>165</v>
      </c>
      <c r="F5" s="219" t="s">
        <v>164</v>
      </c>
      <c r="G5" s="219" t="s">
        <v>23</v>
      </c>
      <c r="H5" s="219" t="s">
        <v>111</v>
      </c>
      <c r="I5" s="219" t="s">
        <v>111</v>
      </c>
      <c r="J5" s="219" t="s">
        <v>28</v>
      </c>
      <c r="K5" s="219" t="s">
        <v>28</v>
      </c>
      <c r="L5" s="219" t="s">
        <v>142</v>
      </c>
      <c r="M5" s="219" t="s">
        <v>113</v>
      </c>
      <c r="N5" s="219" t="s">
        <v>27</v>
      </c>
      <c r="O5" s="219" t="s">
        <v>142</v>
      </c>
      <c r="P5" s="8" t="s">
        <v>165</v>
      </c>
      <c r="Q5" s="8" t="s">
        <v>114</v>
      </c>
      <c r="R5" s="27"/>
      <c r="S5" s="407"/>
    </row>
    <row r="6" spans="1:19" ht="15" thickTop="1" x14ac:dyDescent="0.35">
      <c r="B6" s="277" t="s">
        <v>3</v>
      </c>
      <c r="C6" s="318" t="s">
        <v>58</v>
      </c>
      <c r="D6" s="319" t="s">
        <v>90</v>
      </c>
      <c r="E6" s="319" t="s">
        <v>117</v>
      </c>
      <c r="F6" s="319" t="s">
        <v>60</v>
      </c>
      <c r="G6" s="319" t="s">
        <v>121</v>
      </c>
      <c r="H6" s="319" t="s">
        <v>68</v>
      </c>
      <c r="I6" s="319" t="s">
        <v>76</v>
      </c>
      <c r="J6" s="319" t="s">
        <v>33</v>
      </c>
      <c r="K6" s="319" t="s">
        <v>61</v>
      </c>
      <c r="L6" s="319" t="s">
        <v>64</v>
      </c>
      <c r="M6" s="319" t="s">
        <v>119</v>
      </c>
      <c r="N6" s="319" t="s">
        <v>74</v>
      </c>
      <c r="O6" s="329" t="s">
        <v>67</v>
      </c>
      <c r="P6" s="168" t="s">
        <v>166</v>
      </c>
      <c r="Q6" s="69"/>
      <c r="R6" s="46"/>
      <c r="S6" s="196">
        <f t="shared" ref="S6:S19" si="0">SUM(C25:R25)</f>
        <v>11</v>
      </c>
    </row>
    <row r="7" spans="1:19" x14ac:dyDescent="0.35">
      <c r="B7" s="277" t="s">
        <v>29</v>
      </c>
      <c r="C7" s="321" t="s">
        <v>58</v>
      </c>
      <c r="D7" s="298" t="s">
        <v>90</v>
      </c>
      <c r="E7" s="298" t="s">
        <v>87</v>
      </c>
      <c r="F7" s="298" t="s">
        <v>60</v>
      </c>
      <c r="G7" s="298" t="s">
        <v>121</v>
      </c>
      <c r="H7" s="298" t="s">
        <v>75</v>
      </c>
      <c r="I7" s="298" t="s">
        <v>76</v>
      </c>
      <c r="J7" s="298" t="s">
        <v>33</v>
      </c>
      <c r="K7" s="298" t="s">
        <v>61</v>
      </c>
      <c r="L7" s="298" t="s">
        <v>64</v>
      </c>
      <c r="M7" s="298" t="s">
        <v>119</v>
      </c>
      <c r="N7" s="298" t="s">
        <v>34</v>
      </c>
      <c r="O7" s="330" t="s">
        <v>67</v>
      </c>
      <c r="P7" s="69" t="s">
        <v>166</v>
      </c>
      <c r="Q7" s="44"/>
      <c r="R7" s="45"/>
      <c r="S7" s="197">
        <f t="shared" si="0"/>
        <v>8</v>
      </c>
    </row>
    <row r="8" spans="1:19" x14ac:dyDescent="0.35">
      <c r="B8" s="277" t="s">
        <v>30</v>
      </c>
      <c r="C8" s="321" t="s">
        <v>58</v>
      </c>
      <c r="D8" s="298" t="s">
        <v>90</v>
      </c>
      <c r="E8" s="298" t="s">
        <v>87</v>
      </c>
      <c r="F8" s="298" t="s">
        <v>60</v>
      </c>
      <c r="G8" s="298" t="s">
        <v>121</v>
      </c>
      <c r="H8" s="298" t="s">
        <v>68</v>
      </c>
      <c r="I8" s="298" t="s">
        <v>76</v>
      </c>
      <c r="J8" s="298" t="s">
        <v>33</v>
      </c>
      <c r="K8" s="298" t="s">
        <v>61</v>
      </c>
      <c r="L8" s="298" t="s">
        <v>69</v>
      </c>
      <c r="M8" s="298" t="s">
        <v>119</v>
      </c>
      <c r="N8" s="298" t="s">
        <v>34</v>
      </c>
      <c r="O8" s="330" t="s">
        <v>67</v>
      </c>
      <c r="P8" s="69" t="s">
        <v>166</v>
      </c>
      <c r="Q8" s="44"/>
      <c r="R8" s="44"/>
      <c r="S8" s="196">
        <f t="shared" si="0"/>
        <v>10</v>
      </c>
    </row>
    <row r="9" spans="1:19" x14ac:dyDescent="0.35">
      <c r="B9" s="277" t="s">
        <v>31</v>
      </c>
      <c r="C9" s="321" t="s">
        <v>58</v>
      </c>
      <c r="D9" s="298" t="s">
        <v>63</v>
      </c>
      <c r="E9" s="298" t="s">
        <v>117</v>
      </c>
      <c r="F9" s="298" t="s">
        <v>60</v>
      </c>
      <c r="G9" s="298" t="s">
        <v>79</v>
      </c>
      <c r="H9" s="298" t="s">
        <v>68</v>
      </c>
      <c r="I9" s="298" t="s">
        <v>76</v>
      </c>
      <c r="J9" s="298" t="s">
        <v>33</v>
      </c>
      <c r="K9" s="298" t="s">
        <v>61</v>
      </c>
      <c r="L9" s="298" t="s">
        <v>64</v>
      </c>
      <c r="M9" s="298" t="s">
        <v>119</v>
      </c>
      <c r="N9" s="298" t="s">
        <v>34</v>
      </c>
      <c r="O9" s="330" t="s">
        <v>67</v>
      </c>
      <c r="P9" s="69" t="s">
        <v>166</v>
      </c>
      <c r="Q9" s="69"/>
      <c r="R9" s="44"/>
      <c r="S9" s="197">
        <f t="shared" si="0"/>
        <v>8</v>
      </c>
    </row>
    <row r="10" spans="1:19" x14ac:dyDescent="0.35">
      <c r="B10" s="277" t="s">
        <v>32</v>
      </c>
      <c r="C10" s="321" t="s">
        <v>58</v>
      </c>
      <c r="D10" s="333" t="s">
        <v>386</v>
      </c>
      <c r="E10" s="298" t="s">
        <v>87</v>
      </c>
      <c r="F10" s="298" t="s">
        <v>60</v>
      </c>
      <c r="G10" s="298" t="s">
        <v>121</v>
      </c>
      <c r="H10" s="298" t="s">
        <v>75</v>
      </c>
      <c r="I10" s="298" t="s">
        <v>91</v>
      </c>
      <c r="J10" s="298" t="s">
        <v>33</v>
      </c>
      <c r="K10" s="298" t="s">
        <v>61</v>
      </c>
      <c r="L10" s="298" t="s">
        <v>64</v>
      </c>
      <c r="M10" s="298" t="s">
        <v>119</v>
      </c>
      <c r="N10" s="298" t="s">
        <v>34</v>
      </c>
      <c r="O10" s="330" t="s">
        <v>67</v>
      </c>
      <c r="P10" s="69" t="s">
        <v>166</v>
      </c>
      <c r="Q10" s="44"/>
      <c r="R10" s="44"/>
      <c r="S10" s="196">
        <f t="shared" si="0"/>
        <v>9</v>
      </c>
    </row>
    <row r="11" spans="1:19" x14ac:dyDescent="0.35">
      <c r="B11" s="277" t="s">
        <v>35</v>
      </c>
      <c r="C11" s="321" t="s">
        <v>58</v>
      </c>
      <c r="D11" s="298" t="s">
        <v>90</v>
      </c>
      <c r="E11" s="298" t="s">
        <v>87</v>
      </c>
      <c r="F11" s="298" t="s">
        <v>60</v>
      </c>
      <c r="G11" s="298" t="s">
        <v>121</v>
      </c>
      <c r="H11" s="298" t="s">
        <v>75</v>
      </c>
      <c r="I11" s="298" t="s">
        <v>76</v>
      </c>
      <c r="J11" s="298" t="s">
        <v>33</v>
      </c>
      <c r="K11" s="298" t="s">
        <v>61</v>
      </c>
      <c r="L11" s="298" t="s">
        <v>64</v>
      </c>
      <c r="M11" s="298" t="s">
        <v>119</v>
      </c>
      <c r="N11" s="298" t="s">
        <v>34</v>
      </c>
      <c r="O11" s="330" t="s">
        <v>67</v>
      </c>
      <c r="P11" s="69" t="s">
        <v>166</v>
      </c>
      <c r="Q11" s="44"/>
      <c r="R11" s="44"/>
      <c r="S11" s="197">
        <f t="shared" si="0"/>
        <v>8</v>
      </c>
    </row>
    <row r="12" spans="1:19" x14ac:dyDescent="0.35">
      <c r="B12" s="1" t="s">
        <v>36</v>
      </c>
      <c r="C12" s="321" t="s">
        <v>58</v>
      </c>
      <c r="D12" s="298" t="s">
        <v>90</v>
      </c>
      <c r="E12" s="298" t="s">
        <v>87</v>
      </c>
      <c r="F12" s="298" t="s">
        <v>60</v>
      </c>
      <c r="G12" s="298" t="s">
        <v>121</v>
      </c>
      <c r="H12" s="298" t="s">
        <v>75</v>
      </c>
      <c r="I12" s="298" t="s">
        <v>76</v>
      </c>
      <c r="J12" s="298" t="s">
        <v>33</v>
      </c>
      <c r="K12" s="298" t="s">
        <v>61</v>
      </c>
      <c r="L12" s="298" t="s">
        <v>64</v>
      </c>
      <c r="M12" s="298" t="s">
        <v>119</v>
      </c>
      <c r="N12" s="298" t="s">
        <v>74</v>
      </c>
      <c r="O12" s="330" t="s">
        <v>67</v>
      </c>
      <c r="P12" s="69" t="s">
        <v>166</v>
      </c>
      <c r="Q12" s="44"/>
      <c r="R12" s="44"/>
      <c r="S12" s="196">
        <f t="shared" si="0"/>
        <v>9</v>
      </c>
    </row>
    <row r="13" spans="1:19" x14ac:dyDescent="0.35">
      <c r="B13" s="1" t="s">
        <v>37</v>
      </c>
      <c r="C13" s="345" t="s">
        <v>58</v>
      </c>
      <c r="D13" s="334" t="s">
        <v>90</v>
      </c>
      <c r="E13" s="335" t="s">
        <v>87</v>
      </c>
      <c r="F13" s="336" t="s">
        <v>60</v>
      </c>
      <c r="G13" s="337" t="s">
        <v>121</v>
      </c>
      <c r="H13" s="338" t="s">
        <v>75</v>
      </c>
      <c r="I13" s="339" t="s">
        <v>76</v>
      </c>
      <c r="J13" s="340" t="s">
        <v>33</v>
      </c>
      <c r="K13" s="341" t="s">
        <v>61</v>
      </c>
      <c r="L13" s="342" t="s">
        <v>64</v>
      </c>
      <c r="M13" s="343" t="s">
        <v>119</v>
      </c>
      <c r="N13" s="344" t="s">
        <v>74</v>
      </c>
      <c r="O13" s="346" t="s">
        <v>67</v>
      </c>
      <c r="P13" s="69" t="s">
        <v>166</v>
      </c>
      <c r="Q13" s="69"/>
      <c r="R13" s="47"/>
      <c r="S13" s="197">
        <f t="shared" si="0"/>
        <v>9</v>
      </c>
    </row>
    <row r="14" spans="1:19" x14ac:dyDescent="0.35">
      <c r="B14" s="1" t="s">
        <v>57</v>
      </c>
      <c r="C14" s="321" t="s">
        <v>73</v>
      </c>
      <c r="D14" s="298" t="s">
        <v>90</v>
      </c>
      <c r="E14" s="298" t="s">
        <v>87</v>
      </c>
      <c r="F14" s="298" t="s">
        <v>60</v>
      </c>
      <c r="G14" s="298" t="s">
        <v>121</v>
      </c>
      <c r="H14" s="298" t="s">
        <v>68</v>
      </c>
      <c r="I14" s="298" t="s">
        <v>76</v>
      </c>
      <c r="J14" s="298" t="s">
        <v>33</v>
      </c>
      <c r="K14" s="298" t="s">
        <v>61</v>
      </c>
      <c r="L14" s="298" t="s">
        <v>64</v>
      </c>
      <c r="M14" s="298" t="s">
        <v>119</v>
      </c>
      <c r="N14" s="298" t="s">
        <v>74</v>
      </c>
      <c r="O14" s="330" t="s">
        <v>67</v>
      </c>
      <c r="P14" s="69" t="s">
        <v>166</v>
      </c>
      <c r="Q14" s="47"/>
      <c r="R14" s="47"/>
      <c r="S14" s="196">
        <f t="shared" si="0"/>
        <v>9</v>
      </c>
    </row>
    <row r="15" spans="1:19" s="146" customFormat="1" x14ac:dyDescent="0.35">
      <c r="B15" s="1" t="s">
        <v>379</v>
      </c>
      <c r="C15" s="321" t="s">
        <v>58</v>
      </c>
      <c r="D15" s="298" t="s">
        <v>90</v>
      </c>
      <c r="E15" s="298" t="s">
        <v>87</v>
      </c>
      <c r="F15" s="298" t="s">
        <v>60</v>
      </c>
      <c r="G15" s="298" t="s">
        <v>121</v>
      </c>
      <c r="H15" s="298" t="s">
        <v>75</v>
      </c>
      <c r="I15" s="298" t="s">
        <v>76</v>
      </c>
      <c r="J15" s="298" t="s">
        <v>33</v>
      </c>
      <c r="K15" s="298" t="s">
        <v>61</v>
      </c>
      <c r="L15" s="298" t="s">
        <v>64</v>
      </c>
      <c r="M15" s="298" t="s">
        <v>119</v>
      </c>
      <c r="N15" s="298" t="s">
        <v>34</v>
      </c>
      <c r="O15" s="330" t="s">
        <v>67</v>
      </c>
      <c r="P15" s="153"/>
      <c r="Q15" s="152"/>
      <c r="R15" s="152"/>
      <c r="S15" s="197">
        <f t="shared" si="0"/>
        <v>8</v>
      </c>
    </row>
    <row r="16" spans="1:19" s="146" customFormat="1" x14ac:dyDescent="0.35">
      <c r="B16" s="1" t="s">
        <v>380</v>
      </c>
      <c r="C16" s="321" t="s">
        <v>58</v>
      </c>
      <c r="D16" s="298" t="s">
        <v>90</v>
      </c>
      <c r="E16" s="298" t="s">
        <v>87</v>
      </c>
      <c r="F16" s="298" t="s">
        <v>60</v>
      </c>
      <c r="G16" s="298" t="s">
        <v>121</v>
      </c>
      <c r="H16" s="298" t="s">
        <v>68</v>
      </c>
      <c r="I16" s="298" t="s">
        <v>76</v>
      </c>
      <c r="J16" s="298" t="s">
        <v>33</v>
      </c>
      <c r="K16" s="298" t="s">
        <v>61</v>
      </c>
      <c r="L16" s="298" t="s">
        <v>64</v>
      </c>
      <c r="M16" s="298" t="s">
        <v>119</v>
      </c>
      <c r="N16" s="298" t="s">
        <v>34</v>
      </c>
      <c r="O16" s="330" t="s">
        <v>67</v>
      </c>
      <c r="P16" s="153"/>
      <c r="Q16" s="152"/>
      <c r="R16" s="152"/>
      <c r="S16" s="196">
        <f t="shared" si="0"/>
        <v>9</v>
      </c>
    </row>
    <row r="17" spans="2:19" s="146" customFormat="1" x14ac:dyDescent="0.35">
      <c r="B17" s="1" t="s">
        <v>381</v>
      </c>
      <c r="C17" s="321" t="s">
        <v>58</v>
      </c>
      <c r="D17" s="298" t="s">
        <v>90</v>
      </c>
      <c r="E17" s="298" t="s">
        <v>388</v>
      </c>
      <c r="F17" s="298" t="s">
        <v>60</v>
      </c>
      <c r="G17" s="298" t="s">
        <v>121</v>
      </c>
      <c r="H17" s="298" t="s">
        <v>75</v>
      </c>
      <c r="I17" s="298" t="s">
        <v>91</v>
      </c>
      <c r="J17" s="298" t="s">
        <v>33</v>
      </c>
      <c r="K17" s="298" t="s">
        <v>61</v>
      </c>
      <c r="L17" s="298" t="s">
        <v>64</v>
      </c>
      <c r="M17" s="298" t="s">
        <v>119</v>
      </c>
      <c r="N17" s="298" t="s">
        <v>34</v>
      </c>
      <c r="O17" s="330" t="s">
        <v>67</v>
      </c>
      <c r="P17" s="153"/>
      <c r="Q17" s="152"/>
      <c r="R17" s="152"/>
      <c r="S17" s="197">
        <f t="shared" si="0"/>
        <v>9</v>
      </c>
    </row>
    <row r="18" spans="2:19" s="169" customFormat="1" x14ac:dyDescent="0.35">
      <c r="B18" s="1" t="s">
        <v>387</v>
      </c>
      <c r="C18" s="321" t="s">
        <v>58</v>
      </c>
      <c r="D18" s="298" t="s">
        <v>90</v>
      </c>
      <c r="E18" s="298" t="s">
        <v>87</v>
      </c>
      <c r="F18" s="298" t="s">
        <v>60</v>
      </c>
      <c r="G18" s="298" t="s">
        <v>121</v>
      </c>
      <c r="H18" s="298" t="s">
        <v>75</v>
      </c>
      <c r="I18" s="298" t="s">
        <v>91</v>
      </c>
      <c r="J18" s="298" t="s">
        <v>33</v>
      </c>
      <c r="K18" s="298" t="s">
        <v>61</v>
      </c>
      <c r="L18" s="298" t="s">
        <v>64</v>
      </c>
      <c r="M18" s="298" t="s">
        <v>120</v>
      </c>
      <c r="N18" s="298" t="s">
        <v>34</v>
      </c>
      <c r="O18" s="330" t="s">
        <v>67</v>
      </c>
      <c r="P18" s="174"/>
      <c r="Q18" s="173"/>
      <c r="R18" s="173"/>
      <c r="S18" s="196">
        <f t="shared" si="0"/>
        <v>8</v>
      </c>
    </row>
    <row r="19" spans="2:19" s="169" customFormat="1" ht="15" thickBot="1" x14ac:dyDescent="0.4">
      <c r="B19" s="1" t="s">
        <v>389</v>
      </c>
      <c r="C19" s="325" t="s">
        <v>58</v>
      </c>
      <c r="D19" s="326" t="s">
        <v>90</v>
      </c>
      <c r="E19" s="326" t="s">
        <v>87</v>
      </c>
      <c r="F19" s="326" t="s">
        <v>60</v>
      </c>
      <c r="G19" s="326" t="s">
        <v>121</v>
      </c>
      <c r="H19" s="326" t="s">
        <v>75</v>
      </c>
      <c r="I19" s="326" t="s">
        <v>76</v>
      </c>
      <c r="J19" s="326" t="s">
        <v>33</v>
      </c>
      <c r="K19" s="326" t="s">
        <v>61</v>
      </c>
      <c r="L19" s="326" t="s">
        <v>64</v>
      </c>
      <c r="M19" s="326" t="s">
        <v>119</v>
      </c>
      <c r="N19" s="326" t="s">
        <v>74</v>
      </c>
      <c r="O19" s="331" t="s">
        <v>67</v>
      </c>
      <c r="P19" s="174"/>
      <c r="Q19" s="173"/>
      <c r="R19" s="173"/>
      <c r="S19" s="204">
        <f t="shared" si="0"/>
        <v>9</v>
      </c>
    </row>
    <row r="20" spans="2:19" ht="15.5" thickTop="1" thickBot="1" x14ac:dyDescent="0.4">
      <c r="B20" s="167" t="s">
        <v>183</v>
      </c>
      <c r="C20" s="181" t="s">
        <v>118</v>
      </c>
      <c r="D20" s="79" t="s">
        <v>88</v>
      </c>
      <c r="E20" s="79" t="s">
        <v>62</v>
      </c>
      <c r="F20" s="79" t="s">
        <v>66</v>
      </c>
      <c r="G20" s="79" t="s">
        <v>89</v>
      </c>
      <c r="H20" s="79" t="s">
        <v>71</v>
      </c>
      <c r="I20" s="79"/>
      <c r="J20" s="79"/>
      <c r="K20" s="332"/>
      <c r="L20" s="332"/>
      <c r="M20" s="332"/>
      <c r="N20" s="332"/>
      <c r="O20" s="332"/>
      <c r="P20" s="63"/>
      <c r="Q20" s="52"/>
      <c r="R20" s="52"/>
    </row>
    <row r="21" spans="2:19" ht="15" thickTop="1" x14ac:dyDescent="0.35"/>
    <row r="22" spans="2:19" ht="15" thickBot="1" x14ac:dyDescent="0.4"/>
    <row r="23" spans="2:19" ht="15.5" thickTop="1" thickBot="1" x14ac:dyDescent="0.4">
      <c r="B23" s="178" t="s">
        <v>0</v>
      </c>
      <c r="C23" s="179" t="s">
        <v>235</v>
      </c>
      <c r="D23" s="179" t="s">
        <v>236</v>
      </c>
      <c r="E23" s="179" t="s">
        <v>237</v>
      </c>
      <c r="F23" s="179" t="s">
        <v>238</v>
      </c>
      <c r="G23" s="179" t="s">
        <v>239</v>
      </c>
      <c r="H23" s="179" t="s">
        <v>240</v>
      </c>
      <c r="I23" s="179" t="s">
        <v>241</v>
      </c>
      <c r="J23" s="179" t="s">
        <v>242</v>
      </c>
      <c r="K23" s="179" t="s">
        <v>243</v>
      </c>
      <c r="L23" s="179" t="s">
        <v>244</v>
      </c>
      <c r="M23" s="179" t="s">
        <v>245</v>
      </c>
      <c r="N23" s="179" t="s">
        <v>246</v>
      </c>
      <c r="O23" s="179" t="s">
        <v>247</v>
      </c>
      <c r="P23" s="56" t="s">
        <v>182</v>
      </c>
    </row>
    <row r="24" spans="2:19" ht="15.5" thickTop="1" thickBot="1" x14ac:dyDescent="0.4">
      <c r="B24" s="177" t="s">
        <v>1</v>
      </c>
      <c r="C24" s="218" t="s">
        <v>115</v>
      </c>
      <c r="D24" s="219" t="s">
        <v>370</v>
      </c>
      <c r="E24" s="219" t="s">
        <v>165</v>
      </c>
      <c r="F24" s="219" t="s">
        <v>164</v>
      </c>
      <c r="G24" s="219" t="s">
        <v>23</v>
      </c>
      <c r="H24" s="219" t="s">
        <v>111</v>
      </c>
      <c r="I24" s="219" t="s">
        <v>111</v>
      </c>
      <c r="J24" s="219" t="s">
        <v>28</v>
      </c>
      <c r="K24" s="219" t="s">
        <v>28</v>
      </c>
      <c r="L24" s="219" t="s">
        <v>142</v>
      </c>
      <c r="M24" s="219" t="s">
        <v>113</v>
      </c>
      <c r="N24" s="219" t="s">
        <v>27</v>
      </c>
      <c r="O24" s="219" t="s">
        <v>142</v>
      </c>
      <c r="P24" s="51" t="s">
        <v>165</v>
      </c>
    </row>
    <row r="25" spans="2:19" ht="15" thickTop="1" x14ac:dyDescent="0.35">
      <c r="B25" s="215" t="s">
        <v>3</v>
      </c>
      <c r="C25" s="95">
        <f>IF(C6="ATL",1,"-")</f>
        <v>1</v>
      </c>
      <c r="D25" s="119">
        <f>IF(D6="DAL",1,"-")</f>
        <v>1</v>
      </c>
      <c r="E25" s="119">
        <f>IF(E6="det",1,"-")</f>
        <v>1</v>
      </c>
      <c r="F25" s="119">
        <f>IF(F6="kc",1,"-")</f>
        <v>1</v>
      </c>
      <c r="G25" s="119">
        <f>IF(G6="mia",1,"-")</f>
        <v>1</v>
      </c>
      <c r="H25" s="119">
        <f>IF(H6="NYG",1,"-")</f>
        <v>1</v>
      </c>
      <c r="I25" s="119" t="str">
        <f>IF(I6="bal",1,"-")</f>
        <v>-</v>
      </c>
      <c r="J25" s="119">
        <f>IF(J6="car",1,"-")</f>
        <v>1</v>
      </c>
      <c r="K25" s="119">
        <f>IF(K6="NO",1,"-")</f>
        <v>1</v>
      </c>
      <c r="L25" s="119" t="str">
        <f>IF(L6="ind",1,"-")</f>
        <v>-</v>
      </c>
      <c r="M25" s="119">
        <f>IF(M6="sd",1,"-")</f>
        <v>1</v>
      </c>
      <c r="N25" s="119">
        <f>IF(N6="oak",1,"-")</f>
        <v>1</v>
      </c>
      <c r="O25" s="96">
        <f>IF(O6="sea",1,"-")</f>
        <v>1</v>
      </c>
      <c r="P25" s="57" t="str">
        <f t="shared" ref="P25:P33" si="1">IF(P6="",1,"-")</f>
        <v>-</v>
      </c>
      <c r="S25" s="158"/>
    </row>
    <row r="26" spans="2:19" x14ac:dyDescent="0.35">
      <c r="B26" s="216" t="s">
        <v>29</v>
      </c>
      <c r="C26" s="97">
        <f t="shared" ref="C26:C38" si="2">IF(C7="ATL",1,"-")</f>
        <v>1</v>
      </c>
      <c r="D26" s="199">
        <f t="shared" ref="D26:D38" si="3">IF(D7="DAL",1,"-")</f>
        <v>1</v>
      </c>
      <c r="E26" s="199" t="str">
        <f t="shared" ref="E26:E38" si="4">IF(E7="det",1,"-")</f>
        <v>-</v>
      </c>
      <c r="F26" s="199">
        <f t="shared" ref="F26:F38" si="5">IF(F7="kc",1,"-")</f>
        <v>1</v>
      </c>
      <c r="G26" s="199">
        <f t="shared" ref="G26:G38" si="6">IF(G7="mia",1,"-")</f>
        <v>1</v>
      </c>
      <c r="H26" s="199" t="str">
        <f t="shared" ref="H26:H38" si="7">IF(H7="NYG",1,"-")</f>
        <v>-</v>
      </c>
      <c r="I26" s="199" t="str">
        <f t="shared" ref="I26:I38" si="8">IF(I7="bal",1,"-")</f>
        <v>-</v>
      </c>
      <c r="J26" s="199">
        <f t="shared" ref="J26:J38" si="9">IF(J7="car",1,"-")</f>
        <v>1</v>
      </c>
      <c r="K26" s="199">
        <f t="shared" ref="K26:K38" si="10">IF(K7="NO",1,"-")</f>
        <v>1</v>
      </c>
      <c r="L26" s="199" t="str">
        <f t="shared" ref="L26:L38" si="11">IF(L7="ind",1,"-")</f>
        <v>-</v>
      </c>
      <c r="M26" s="199">
        <f t="shared" ref="M26:M38" si="12">IF(M7="sd",1,"-")</f>
        <v>1</v>
      </c>
      <c r="N26" s="199" t="str">
        <f t="shared" ref="N26:N38" si="13">IF(N7="oak",1,"-")</f>
        <v>-</v>
      </c>
      <c r="O26" s="98">
        <f t="shared" ref="O26:O38" si="14">IF(O7="sea",1,"-")</f>
        <v>1</v>
      </c>
      <c r="P26" s="57" t="str">
        <f t="shared" si="1"/>
        <v>-</v>
      </c>
      <c r="S26" s="158"/>
    </row>
    <row r="27" spans="2:19" x14ac:dyDescent="0.35">
      <c r="B27" s="217" t="s">
        <v>30</v>
      </c>
      <c r="C27" s="97">
        <f t="shared" si="2"/>
        <v>1</v>
      </c>
      <c r="D27" s="199">
        <f t="shared" si="3"/>
        <v>1</v>
      </c>
      <c r="E27" s="199" t="str">
        <f t="shared" si="4"/>
        <v>-</v>
      </c>
      <c r="F27" s="199">
        <f t="shared" si="5"/>
        <v>1</v>
      </c>
      <c r="G27" s="199">
        <f t="shared" si="6"/>
        <v>1</v>
      </c>
      <c r="H27" s="199">
        <f t="shared" si="7"/>
        <v>1</v>
      </c>
      <c r="I27" s="199" t="str">
        <f t="shared" si="8"/>
        <v>-</v>
      </c>
      <c r="J27" s="199">
        <f t="shared" si="9"/>
        <v>1</v>
      </c>
      <c r="K27" s="199">
        <f t="shared" si="10"/>
        <v>1</v>
      </c>
      <c r="L27" s="199">
        <f t="shared" si="11"/>
        <v>1</v>
      </c>
      <c r="M27" s="199">
        <f t="shared" si="12"/>
        <v>1</v>
      </c>
      <c r="N27" s="199" t="str">
        <f t="shared" si="13"/>
        <v>-</v>
      </c>
      <c r="O27" s="98">
        <f t="shared" si="14"/>
        <v>1</v>
      </c>
      <c r="P27" s="57" t="str">
        <f t="shared" si="1"/>
        <v>-</v>
      </c>
      <c r="S27" s="158"/>
    </row>
    <row r="28" spans="2:19" x14ac:dyDescent="0.35">
      <c r="B28" s="216" t="s">
        <v>31</v>
      </c>
      <c r="C28" s="97">
        <f t="shared" si="2"/>
        <v>1</v>
      </c>
      <c r="D28" s="199" t="str">
        <f t="shared" si="3"/>
        <v>-</v>
      </c>
      <c r="E28" s="199">
        <f t="shared" si="4"/>
        <v>1</v>
      </c>
      <c r="F28" s="199">
        <f t="shared" si="5"/>
        <v>1</v>
      </c>
      <c r="G28" s="199" t="str">
        <f t="shared" si="6"/>
        <v>-</v>
      </c>
      <c r="H28" s="199">
        <f t="shared" si="7"/>
        <v>1</v>
      </c>
      <c r="I28" s="199" t="str">
        <f t="shared" si="8"/>
        <v>-</v>
      </c>
      <c r="J28" s="199">
        <f t="shared" si="9"/>
        <v>1</v>
      </c>
      <c r="K28" s="199">
        <f t="shared" si="10"/>
        <v>1</v>
      </c>
      <c r="L28" s="199" t="str">
        <f t="shared" si="11"/>
        <v>-</v>
      </c>
      <c r="M28" s="199">
        <f t="shared" si="12"/>
        <v>1</v>
      </c>
      <c r="N28" s="199" t="str">
        <f t="shared" si="13"/>
        <v>-</v>
      </c>
      <c r="O28" s="98">
        <f t="shared" si="14"/>
        <v>1</v>
      </c>
      <c r="P28" s="57" t="str">
        <f t="shared" si="1"/>
        <v>-</v>
      </c>
      <c r="S28" s="158"/>
    </row>
    <row r="29" spans="2:19" x14ac:dyDescent="0.35">
      <c r="B29" s="217" t="s">
        <v>32</v>
      </c>
      <c r="C29" s="97">
        <f t="shared" si="2"/>
        <v>1</v>
      </c>
      <c r="D29" s="199">
        <v>1</v>
      </c>
      <c r="E29" s="199" t="str">
        <f t="shared" si="4"/>
        <v>-</v>
      </c>
      <c r="F29" s="199">
        <f t="shared" si="5"/>
        <v>1</v>
      </c>
      <c r="G29" s="199">
        <f t="shared" si="6"/>
        <v>1</v>
      </c>
      <c r="H29" s="199" t="str">
        <f t="shared" si="7"/>
        <v>-</v>
      </c>
      <c r="I29" s="199">
        <f t="shared" si="8"/>
        <v>1</v>
      </c>
      <c r="J29" s="199">
        <f t="shared" si="9"/>
        <v>1</v>
      </c>
      <c r="K29" s="199">
        <f t="shared" si="10"/>
        <v>1</v>
      </c>
      <c r="L29" s="199" t="str">
        <f t="shared" si="11"/>
        <v>-</v>
      </c>
      <c r="M29" s="199">
        <f t="shared" si="12"/>
        <v>1</v>
      </c>
      <c r="N29" s="199" t="str">
        <f t="shared" si="13"/>
        <v>-</v>
      </c>
      <c r="O29" s="98">
        <f t="shared" si="14"/>
        <v>1</v>
      </c>
      <c r="P29" s="57" t="str">
        <f t="shared" si="1"/>
        <v>-</v>
      </c>
      <c r="S29" s="158"/>
    </row>
    <row r="30" spans="2:19" x14ac:dyDescent="0.35">
      <c r="B30" s="216" t="s">
        <v>35</v>
      </c>
      <c r="C30" s="97">
        <f t="shared" si="2"/>
        <v>1</v>
      </c>
      <c r="D30" s="199">
        <f t="shared" si="3"/>
        <v>1</v>
      </c>
      <c r="E30" s="199" t="str">
        <f t="shared" si="4"/>
        <v>-</v>
      </c>
      <c r="F30" s="199">
        <f t="shared" si="5"/>
        <v>1</v>
      </c>
      <c r="G30" s="199">
        <f t="shared" si="6"/>
        <v>1</v>
      </c>
      <c r="H30" s="199" t="str">
        <f t="shared" si="7"/>
        <v>-</v>
      </c>
      <c r="I30" s="199" t="str">
        <f t="shared" si="8"/>
        <v>-</v>
      </c>
      <c r="J30" s="199">
        <f t="shared" si="9"/>
        <v>1</v>
      </c>
      <c r="K30" s="199">
        <f t="shared" si="10"/>
        <v>1</v>
      </c>
      <c r="L30" s="199" t="str">
        <f t="shared" si="11"/>
        <v>-</v>
      </c>
      <c r="M30" s="199">
        <f t="shared" si="12"/>
        <v>1</v>
      </c>
      <c r="N30" s="199" t="str">
        <f t="shared" si="13"/>
        <v>-</v>
      </c>
      <c r="O30" s="98">
        <f t="shared" si="14"/>
        <v>1</v>
      </c>
      <c r="P30" s="57" t="str">
        <f t="shared" si="1"/>
        <v>-</v>
      </c>
      <c r="S30" s="158"/>
    </row>
    <row r="31" spans="2:19" x14ac:dyDescent="0.35">
      <c r="B31" s="217" t="s">
        <v>36</v>
      </c>
      <c r="C31" s="97">
        <f t="shared" si="2"/>
        <v>1</v>
      </c>
      <c r="D31" s="199">
        <f t="shared" si="3"/>
        <v>1</v>
      </c>
      <c r="E31" s="199" t="str">
        <f t="shared" si="4"/>
        <v>-</v>
      </c>
      <c r="F31" s="199">
        <f t="shared" si="5"/>
        <v>1</v>
      </c>
      <c r="G31" s="199">
        <f t="shared" si="6"/>
        <v>1</v>
      </c>
      <c r="H31" s="199" t="str">
        <f t="shared" si="7"/>
        <v>-</v>
      </c>
      <c r="I31" s="199" t="str">
        <f t="shared" si="8"/>
        <v>-</v>
      </c>
      <c r="J31" s="199">
        <f t="shared" si="9"/>
        <v>1</v>
      </c>
      <c r="K31" s="199">
        <f t="shared" si="10"/>
        <v>1</v>
      </c>
      <c r="L31" s="199" t="str">
        <f t="shared" si="11"/>
        <v>-</v>
      </c>
      <c r="M31" s="199">
        <f t="shared" si="12"/>
        <v>1</v>
      </c>
      <c r="N31" s="199">
        <f t="shared" si="13"/>
        <v>1</v>
      </c>
      <c r="O31" s="98">
        <f t="shared" si="14"/>
        <v>1</v>
      </c>
      <c r="P31" s="57" t="str">
        <f t="shared" si="1"/>
        <v>-</v>
      </c>
      <c r="S31" s="158"/>
    </row>
    <row r="32" spans="2:19" x14ac:dyDescent="0.35">
      <c r="B32" s="216" t="s">
        <v>37</v>
      </c>
      <c r="C32" s="97">
        <f t="shared" si="2"/>
        <v>1</v>
      </c>
      <c r="D32" s="199">
        <f t="shared" si="3"/>
        <v>1</v>
      </c>
      <c r="E32" s="199" t="str">
        <f t="shared" si="4"/>
        <v>-</v>
      </c>
      <c r="F32" s="199">
        <f t="shared" si="5"/>
        <v>1</v>
      </c>
      <c r="G32" s="199">
        <f t="shared" si="6"/>
        <v>1</v>
      </c>
      <c r="H32" s="199" t="str">
        <f t="shared" si="7"/>
        <v>-</v>
      </c>
      <c r="I32" s="199" t="str">
        <f t="shared" si="8"/>
        <v>-</v>
      </c>
      <c r="J32" s="199">
        <f t="shared" si="9"/>
        <v>1</v>
      </c>
      <c r="K32" s="199">
        <f t="shared" si="10"/>
        <v>1</v>
      </c>
      <c r="L32" s="199" t="str">
        <f t="shared" si="11"/>
        <v>-</v>
      </c>
      <c r="M32" s="199">
        <f t="shared" si="12"/>
        <v>1</v>
      </c>
      <c r="N32" s="199">
        <f t="shared" si="13"/>
        <v>1</v>
      </c>
      <c r="O32" s="98">
        <f t="shared" si="14"/>
        <v>1</v>
      </c>
      <c r="P32" s="57" t="str">
        <f t="shared" si="1"/>
        <v>-</v>
      </c>
      <c r="S32" s="158"/>
    </row>
    <row r="33" spans="1:19" ht="15" thickBot="1" x14ac:dyDescent="0.4">
      <c r="B33" s="217" t="s">
        <v>57</v>
      </c>
      <c r="C33" s="97" t="str">
        <f t="shared" si="2"/>
        <v>-</v>
      </c>
      <c r="D33" s="199">
        <f t="shared" si="3"/>
        <v>1</v>
      </c>
      <c r="E33" s="199" t="str">
        <f t="shared" si="4"/>
        <v>-</v>
      </c>
      <c r="F33" s="199">
        <f t="shared" si="5"/>
        <v>1</v>
      </c>
      <c r="G33" s="199">
        <f t="shared" si="6"/>
        <v>1</v>
      </c>
      <c r="H33" s="199">
        <f t="shared" si="7"/>
        <v>1</v>
      </c>
      <c r="I33" s="199" t="str">
        <f t="shared" si="8"/>
        <v>-</v>
      </c>
      <c r="J33" s="199">
        <f t="shared" si="9"/>
        <v>1</v>
      </c>
      <c r="K33" s="199">
        <f t="shared" si="10"/>
        <v>1</v>
      </c>
      <c r="L33" s="199" t="str">
        <f t="shared" si="11"/>
        <v>-</v>
      </c>
      <c r="M33" s="199">
        <f t="shared" si="12"/>
        <v>1</v>
      </c>
      <c r="N33" s="199">
        <f t="shared" si="13"/>
        <v>1</v>
      </c>
      <c r="O33" s="98">
        <f t="shared" si="14"/>
        <v>1</v>
      </c>
      <c r="P33" s="58" t="str">
        <f t="shared" si="1"/>
        <v>-</v>
      </c>
      <c r="S33" s="158"/>
    </row>
    <row r="34" spans="1:19" ht="15" thickTop="1" x14ac:dyDescent="0.35">
      <c r="B34" s="216" t="s">
        <v>379</v>
      </c>
      <c r="C34" s="97">
        <f t="shared" si="2"/>
        <v>1</v>
      </c>
      <c r="D34" s="199">
        <f t="shared" si="3"/>
        <v>1</v>
      </c>
      <c r="E34" s="199" t="str">
        <f t="shared" si="4"/>
        <v>-</v>
      </c>
      <c r="F34" s="199">
        <f t="shared" si="5"/>
        <v>1</v>
      </c>
      <c r="G34" s="199">
        <f t="shared" si="6"/>
        <v>1</v>
      </c>
      <c r="H34" s="199" t="str">
        <f t="shared" si="7"/>
        <v>-</v>
      </c>
      <c r="I34" s="199" t="str">
        <f t="shared" si="8"/>
        <v>-</v>
      </c>
      <c r="J34" s="199">
        <f t="shared" si="9"/>
        <v>1</v>
      </c>
      <c r="K34" s="199">
        <f t="shared" si="10"/>
        <v>1</v>
      </c>
      <c r="L34" s="199" t="str">
        <f t="shared" si="11"/>
        <v>-</v>
      </c>
      <c r="M34" s="199">
        <f t="shared" si="12"/>
        <v>1</v>
      </c>
      <c r="N34" s="199" t="str">
        <f t="shared" si="13"/>
        <v>-</v>
      </c>
      <c r="O34" s="98">
        <f t="shared" si="14"/>
        <v>1</v>
      </c>
      <c r="S34" s="158"/>
    </row>
    <row r="35" spans="1:19" s="146" customFormat="1" x14ac:dyDescent="0.35">
      <c r="B35" s="217" t="s">
        <v>380</v>
      </c>
      <c r="C35" s="97">
        <f t="shared" si="2"/>
        <v>1</v>
      </c>
      <c r="D35" s="199">
        <f t="shared" si="3"/>
        <v>1</v>
      </c>
      <c r="E35" s="199" t="str">
        <f t="shared" si="4"/>
        <v>-</v>
      </c>
      <c r="F35" s="199">
        <f t="shared" si="5"/>
        <v>1</v>
      </c>
      <c r="G35" s="199">
        <f t="shared" si="6"/>
        <v>1</v>
      </c>
      <c r="H35" s="199">
        <f t="shared" si="7"/>
        <v>1</v>
      </c>
      <c r="I35" s="199" t="str">
        <f t="shared" si="8"/>
        <v>-</v>
      </c>
      <c r="J35" s="199">
        <f t="shared" si="9"/>
        <v>1</v>
      </c>
      <c r="K35" s="199">
        <f t="shared" si="10"/>
        <v>1</v>
      </c>
      <c r="L35" s="199" t="str">
        <f t="shared" si="11"/>
        <v>-</v>
      </c>
      <c r="M35" s="199">
        <f t="shared" si="12"/>
        <v>1</v>
      </c>
      <c r="N35" s="199" t="str">
        <f t="shared" si="13"/>
        <v>-</v>
      </c>
      <c r="O35" s="98">
        <f t="shared" si="14"/>
        <v>1</v>
      </c>
      <c r="S35" s="158"/>
    </row>
    <row r="36" spans="1:19" s="146" customFormat="1" x14ac:dyDescent="0.35">
      <c r="B36" s="216" t="s">
        <v>381</v>
      </c>
      <c r="C36" s="97">
        <f t="shared" si="2"/>
        <v>1</v>
      </c>
      <c r="D36" s="199">
        <f t="shared" si="3"/>
        <v>1</v>
      </c>
      <c r="E36" s="199" t="str">
        <f t="shared" si="4"/>
        <v>-</v>
      </c>
      <c r="F36" s="199">
        <f t="shared" si="5"/>
        <v>1</v>
      </c>
      <c r="G36" s="199">
        <f t="shared" si="6"/>
        <v>1</v>
      </c>
      <c r="H36" s="199" t="str">
        <f t="shared" si="7"/>
        <v>-</v>
      </c>
      <c r="I36" s="199">
        <f t="shared" si="8"/>
        <v>1</v>
      </c>
      <c r="J36" s="199">
        <f t="shared" si="9"/>
        <v>1</v>
      </c>
      <c r="K36" s="199">
        <f t="shared" si="10"/>
        <v>1</v>
      </c>
      <c r="L36" s="199" t="str">
        <f t="shared" si="11"/>
        <v>-</v>
      </c>
      <c r="M36" s="199">
        <f t="shared" si="12"/>
        <v>1</v>
      </c>
      <c r="N36" s="199" t="str">
        <f t="shared" si="13"/>
        <v>-</v>
      </c>
      <c r="O36" s="98">
        <f t="shared" si="14"/>
        <v>1</v>
      </c>
      <c r="S36" s="158"/>
    </row>
    <row r="37" spans="1:19" s="169" customFormat="1" x14ac:dyDescent="0.35">
      <c r="B37" s="217" t="s">
        <v>387</v>
      </c>
      <c r="C37" s="97">
        <f t="shared" si="2"/>
        <v>1</v>
      </c>
      <c r="D37" s="199">
        <f t="shared" si="3"/>
        <v>1</v>
      </c>
      <c r="E37" s="199" t="str">
        <f t="shared" si="4"/>
        <v>-</v>
      </c>
      <c r="F37" s="199">
        <f t="shared" si="5"/>
        <v>1</v>
      </c>
      <c r="G37" s="199">
        <f t="shared" si="6"/>
        <v>1</v>
      </c>
      <c r="H37" s="199" t="str">
        <f t="shared" si="7"/>
        <v>-</v>
      </c>
      <c r="I37" s="199">
        <f t="shared" si="8"/>
        <v>1</v>
      </c>
      <c r="J37" s="199">
        <f t="shared" si="9"/>
        <v>1</v>
      </c>
      <c r="K37" s="199">
        <f t="shared" si="10"/>
        <v>1</v>
      </c>
      <c r="L37" s="199" t="str">
        <f t="shared" si="11"/>
        <v>-</v>
      </c>
      <c r="M37" s="199" t="str">
        <f t="shared" si="12"/>
        <v>-</v>
      </c>
      <c r="N37" s="199" t="str">
        <f t="shared" si="13"/>
        <v>-</v>
      </c>
      <c r="O37" s="98">
        <f t="shared" si="14"/>
        <v>1</v>
      </c>
      <c r="S37" s="170"/>
    </row>
    <row r="38" spans="1:19" s="169" customFormat="1" ht="15" thickBot="1" x14ac:dyDescent="0.4">
      <c r="A38" s="171"/>
      <c r="B38" s="217" t="s">
        <v>389</v>
      </c>
      <c r="C38" s="99">
        <f t="shared" si="2"/>
        <v>1</v>
      </c>
      <c r="D38" s="74">
        <f t="shared" si="3"/>
        <v>1</v>
      </c>
      <c r="E38" s="74" t="str">
        <f t="shared" si="4"/>
        <v>-</v>
      </c>
      <c r="F38" s="74">
        <f t="shared" si="5"/>
        <v>1</v>
      </c>
      <c r="G38" s="74">
        <f t="shared" si="6"/>
        <v>1</v>
      </c>
      <c r="H38" s="74" t="str">
        <f t="shared" si="7"/>
        <v>-</v>
      </c>
      <c r="I38" s="74" t="str">
        <f t="shared" si="8"/>
        <v>-</v>
      </c>
      <c r="J38" s="74">
        <f t="shared" si="9"/>
        <v>1</v>
      </c>
      <c r="K38" s="74">
        <f t="shared" si="10"/>
        <v>1</v>
      </c>
      <c r="L38" s="74" t="str">
        <f t="shared" si="11"/>
        <v>-</v>
      </c>
      <c r="M38" s="74">
        <f t="shared" si="12"/>
        <v>1</v>
      </c>
      <c r="N38" s="74">
        <f t="shared" si="13"/>
        <v>1</v>
      </c>
      <c r="O38" s="100">
        <f t="shared" si="14"/>
        <v>1</v>
      </c>
      <c r="S38" s="170"/>
    </row>
  </sheetData>
  <mergeCells count="1">
    <mergeCell ref="S4:S5"/>
  </mergeCells>
  <conditionalFormatting sqref="A39:XFD1048576 Q23:XFD33 A23:A38 P34:XFD38 A1:XFD5 A20:XFD22 A13:B13 P13:R13 A14:R19 A6:R12 T6:XFD19">
    <cfRule type="cellIs" dxfId="3394" priority="389" operator="equal">
      <formula>"PHI"</formula>
    </cfRule>
    <cfRule type="cellIs" dxfId="3393" priority="390" operator="equal">
      <formula>"GB"</formula>
    </cfRule>
    <cfRule type="cellIs" dxfId="3392" priority="391" operator="equal">
      <formula>"MIN"</formula>
    </cfRule>
    <cfRule type="cellIs" dxfId="3391" priority="392" operator="equal">
      <formula>"NYG"</formula>
    </cfRule>
    <cfRule type="cellIs" dxfId="3390" priority="393" operator="equal">
      <formula>"PIT"</formula>
    </cfRule>
    <cfRule type="cellIs" dxfId="3389" priority="394" operator="equal">
      <formula>"KC"</formula>
    </cfRule>
    <cfRule type="cellIs" dxfId="3388" priority="395" operator="equal">
      <formula>"ARI"</formula>
    </cfRule>
    <cfRule type="cellIs" dxfId="3387" priority="396" operator="equal">
      <formula>"LA"</formula>
    </cfRule>
    <cfRule type="cellIs" dxfId="3386" priority="397" operator="equal">
      <formula>"SD"</formula>
    </cfRule>
    <cfRule type="cellIs" dxfId="3385" priority="398" operator="equal">
      <formula>"NO"</formula>
    </cfRule>
    <cfRule type="cellIs" dxfId="3384" priority="399" operator="equal">
      <formula>"SF"</formula>
    </cfRule>
    <cfRule type="cellIs" dxfId="3383" priority="400" operator="equal">
      <formula>"DAL"</formula>
    </cfRule>
    <cfRule type="cellIs" dxfId="3382" priority="401" operator="equal">
      <formula>"TB"</formula>
    </cfRule>
    <cfRule type="cellIs" dxfId="3381" priority="402" operator="equal">
      <formula>"DEN"</formula>
    </cfRule>
    <cfRule type="cellIs" dxfId="3380" priority="403" operator="equal">
      <formula>"BAL"</formula>
    </cfRule>
    <cfRule type="cellIs" dxfId="3379" priority="404" operator="equal">
      <formula>"OAK"</formula>
    </cfRule>
    <cfRule type="cellIs" dxfId="3378" priority="405" operator="equal">
      <formula>"HOU"</formula>
    </cfRule>
    <cfRule type="cellIs" dxfId="3377" priority="406" operator="equal">
      <formula>"TEN"</formula>
    </cfRule>
    <cfRule type="cellIs" dxfId="3376" priority="407" operator="equal">
      <formula>"CHI"</formula>
    </cfRule>
    <cfRule type="cellIs" dxfId="3375" priority="408" operator="equal">
      <formula>"DET"</formula>
    </cfRule>
    <cfRule type="cellIs" dxfId="3374" priority="409" operator="equal">
      <formula>"ATL"</formula>
    </cfRule>
    <cfRule type="cellIs" dxfId="3373" priority="410" operator="equal">
      <formula>"CAR"</formula>
    </cfRule>
    <cfRule type="cellIs" dxfId="3372" priority="411" operator="equal">
      <formula>"IND"</formula>
    </cfRule>
    <cfRule type="cellIs" dxfId="3371" priority="412" operator="equal">
      <formula>"JAX"</formula>
    </cfRule>
    <cfRule type="cellIs" dxfId="3370" priority="413" operator="equal">
      <formula>"NYJ"</formula>
    </cfRule>
    <cfRule type="cellIs" dxfId="3369" priority="414" operator="equal">
      <formula>"SEA"</formula>
    </cfRule>
    <cfRule type="cellIs" dxfId="3368" priority="415" operator="equal">
      <formula>"NE"</formula>
    </cfRule>
    <cfRule type="cellIs" dxfId="3367" priority="416" operator="equal">
      <formula>"BUF"</formula>
    </cfRule>
    <cfRule type="cellIs" dxfId="3366" priority="417" operator="equal">
      <formula>"WAS"</formula>
    </cfRule>
    <cfRule type="cellIs" dxfId="3365" priority="418" operator="equal">
      <formula>"CLE"</formula>
    </cfRule>
    <cfRule type="cellIs" dxfId="3364" priority="419" operator="equal">
      <formula>"CIN"</formula>
    </cfRule>
    <cfRule type="cellIs" dxfId="3363" priority="420" operator="equal">
      <formula>"MIA"</formula>
    </cfRule>
  </conditionalFormatting>
  <conditionalFormatting sqref="P23:P24 C25:P25 P26:P33 C26:O38">
    <cfRule type="cellIs" dxfId="3362" priority="325" operator="equal">
      <formula>"PHI"</formula>
    </cfRule>
    <cfRule type="cellIs" dxfId="3361" priority="326" operator="equal">
      <formula>"GB"</formula>
    </cfRule>
    <cfRule type="cellIs" dxfId="3360" priority="327" operator="equal">
      <formula>"MIN"</formula>
    </cfRule>
    <cfRule type="cellIs" dxfId="3359" priority="328" operator="equal">
      <formula>"NYG"</formula>
    </cfRule>
    <cfRule type="cellIs" dxfId="3358" priority="329" operator="equal">
      <formula>"PIT"</formula>
    </cfRule>
    <cfRule type="cellIs" dxfId="3357" priority="330" operator="equal">
      <formula>"KC"</formula>
    </cfRule>
    <cfRule type="cellIs" dxfId="3356" priority="331" operator="equal">
      <formula>"ARI"</formula>
    </cfRule>
    <cfRule type="cellIs" dxfId="3355" priority="332" operator="equal">
      <formula>"LA"</formula>
    </cfRule>
    <cfRule type="cellIs" dxfId="3354" priority="333" operator="equal">
      <formula>"SD"</formula>
    </cfRule>
    <cfRule type="cellIs" dxfId="3353" priority="334" operator="equal">
      <formula>"NO"</formula>
    </cfRule>
    <cfRule type="cellIs" dxfId="3352" priority="335" operator="equal">
      <formula>"SF"</formula>
    </cfRule>
    <cfRule type="cellIs" dxfId="3351" priority="336" operator="equal">
      <formula>"DAL"</formula>
    </cfRule>
    <cfRule type="cellIs" dxfId="3350" priority="337" operator="equal">
      <formula>"TB"</formula>
    </cfRule>
    <cfRule type="cellIs" dxfId="3349" priority="338" operator="equal">
      <formula>"DEN"</formula>
    </cfRule>
    <cfRule type="cellIs" dxfId="3348" priority="339" operator="equal">
      <formula>"BAL"</formula>
    </cfRule>
    <cfRule type="cellIs" dxfId="3347" priority="340" operator="equal">
      <formula>"OAK"</formula>
    </cfRule>
    <cfRule type="cellIs" dxfId="3346" priority="341" operator="equal">
      <formula>"HOU"</formula>
    </cfRule>
    <cfRule type="cellIs" dxfId="3345" priority="342" operator="equal">
      <formula>"TEN"</formula>
    </cfRule>
    <cfRule type="cellIs" dxfId="3344" priority="343" operator="equal">
      <formula>"CHI"</formula>
    </cfRule>
    <cfRule type="cellIs" dxfId="3343" priority="344" operator="equal">
      <formula>"DET"</formula>
    </cfRule>
    <cfRule type="cellIs" dxfId="3342" priority="345" operator="equal">
      <formula>"ATL"</formula>
    </cfRule>
    <cfRule type="cellIs" dxfId="3341" priority="346" operator="equal">
      <formula>"CAR"</formula>
    </cfRule>
    <cfRule type="cellIs" dxfId="3340" priority="347" operator="equal">
      <formula>"IND"</formula>
    </cfRule>
    <cfRule type="cellIs" dxfId="3339" priority="348" operator="equal">
      <formula>"JAX"</formula>
    </cfRule>
    <cfRule type="cellIs" dxfId="3338" priority="349" operator="equal">
      <formula>"NYJ"</formula>
    </cfRule>
    <cfRule type="cellIs" dxfId="3337" priority="350" operator="equal">
      <formula>"SEA"</formula>
    </cfRule>
    <cfRule type="cellIs" dxfId="3336" priority="351" operator="equal">
      <formula>"NE"</formula>
    </cfRule>
    <cfRule type="cellIs" dxfId="3335" priority="352" operator="equal">
      <formula>"BUF"</formula>
    </cfRule>
    <cfRule type="cellIs" dxfId="3334" priority="353" operator="equal">
      <formula>"WAS"</formula>
    </cfRule>
    <cfRule type="cellIs" dxfId="3333" priority="354" operator="equal">
      <formula>"CLE"</formula>
    </cfRule>
    <cfRule type="cellIs" dxfId="3332" priority="355" operator="equal">
      <formula>"CIN"</formula>
    </cfRule>
    <cfRule type="cellIs" dxfId="3331" priority="356" operator="equal">
      <formula>"MIA"</formula>
    </cfRule>
  </conditionalFormatting>
  <conditionalFormatting sqref="B23:O23 B24">
    <cfRule type="cellIs" dxfId="3330" priority="292" operator="equal">
      <formula>"PHI"</formula>
    </cfRule>
    <cfRule type="cellIs" dxfId="3329" priority="293" operator="equal">
      <formula>"GB"</formula>
    </cfRule>
    <cfRule type="cellIs" dxfId="3328" priority="294" operator="equal">
      <formula>"MIN"</formula>
    </cfRule>
    <cfRule type="cellIs" dxfId="3327" priority="295" operator="equal">
      <formula>"NYG"</formula>
    </cfRule>
    <cfRule type="cellIs" dxfId="3326" priority="296" operator="equal">
      <formula>"PIT"</formula>
    </cfRule>
    <cfRule type="cellIs" dxfId="3325" priority="297" operator="equal">
      <formula>"KC"</formula>
    </cfRule>
    <cfRule type="cellIs" dxfId="3324" priority="298" operator="equal">
      <formula>"ARI"</formula>
    </cfRule>
    <cfRule type="cellIs" dxfId="3323" priority="299" operator="equal">
      <formula>"LA"</formula>
    </cfRule>
    <cfRule type="cellIs" dxfId="3322" priority="300" operator="equal">
      <formula>"SD"</formula>
    </cfRule>
    <cfRule type="cellIs" dxfId="3321" priority="301" operator="equal">
      <formula>"NO"</formula>
    </cfRule>
    <cfRule type="cellIs" dxfId="3320" priority="302" operator="equal">
      <formula>"SF"</formula>
    </cfRule>
    <cfRule type="cellIs" dxfId="3319" priority="303" operator="equal">
      <formula>"DAL"</formula>
    </cfRule>
    <cfRule type="cellIs" dxfId="3318" priority="304" operator="equal">
      <formula>"TB"</formula>
    </cfRule>
    <cfRule type="cellIs" dxfId="3317" priority="305" operator="equal">
      <formula>"DEN"</formula>
    </cfRule>
    <cfRule type="cellIs" dxfId="3316" priority="306" operator="equal">
      <formula>"BAL"</formula>
    </cfRule>
    <cfRule type="cellIs" dxfId="3315" priority="307" operator="equal">
      <formula>"OAK"</formula>
    </cfRule>
    <cfRule type="cellIs" dxfId="3314" priority="308" operator="equal">
      <formula>"HOU"</formula>
    </cfRule>
    <cfRule type="cellIs" dxfId="3313" priority="309" operator="equal">
      <formula>"TEN"</formula>
    </cfRule>
    <cfRule type="cellIs" dxfId="3312" priority="310" operator="equal">
      <formula>"CHI"</formula>
    </cfRule>
    <cfRule type="cellIs" dxfId="3311" priority="311" operator="equal">
      <formula>"DET"</formula>
    </cfRule>
    <cfRule type="cellIs" dxfId="3310" priority="312" operator="equal">
      <formula>"ATL"</formula>
    </cfRule>
    <cfRule type="cellIs" dxfId="3309" priority="313" operator="equal">
      <formula>"CAR"</formula>
    </cfRule>
    <cfRule type="cellIs" dxfId="3308" priority="314" operator="equal">
      <formula>"IND"</formula>
    </cfRule>
    <cfRule type="cellIs" dxfId="3307" priority="315" operator="equal">
      <formula>"JAX"</formula>
    </cfRule>
    <cfRule type="cellIs" dxfId="3306" priority="316" operator="equal">
      <formula>"NYJ"</formula>
    </cfRule>
    <cfRule type="cellIs" dxfId="3305" priority="317" operator="equal">
      <formula>"SEA"</formula>
    </cfRule>
    <cfRule type="cellIs" dxfId="3304" priority="318" operator="equal">
      <formula>"NE"</formula>
    </cfRule>
    <cfRule type="cellIs" dxfId="3303" priority="319" operator="equal">
      <formula>"BUF"</formula>
    </cfRule>
    <cfRule type="cellIs" dxfId="3302" priority="320" operator="equal">
      <formula>"WAS"</formula>
    </cfRule>
    <cfRule type="cellIs" dxfId="3301" priority="321" operator="equal">
      <formula>"CLE"</formula>
    </cfRule>
    <cfRule type="cellIs" dxfId="3300" priority="322" operator="equal">
      <formula>"CIN"</formula>
    </cfRule>
    <cfRule type="cellIs" dxfId="3299" priority="323" operator="equal">
      <formula>"MIA"</formula>
    </cfRule>
  </conditionalFormatting>
  <conditionalFormatting sqref="B25:B36">
    <cfRule type="cellIs" dxfId="3298" priority="131" operator="equal">
      <formula>"PHI"</formula>
    </cfRule>
    <cfRule type="cellIs" dxfId="3297" priority="132" operator="equal">
      <formula>"GB"</formula>
    </cfRule>
    <cfRule type="cellIs" dxfId="3296" priority="133" operator="equal">
      <formula>"MIN"</formula>
    </cfRule>
    <cfRule type="cellIs" dxfId="3295" priority="134" operator="equal">
      <formula>"NYG"</formula>
    </cfRule>
    <cfRule type="cellIs" dxfId="3294" priority="135" operator="equal">
      <formula>"PIT"</formula>
    </cfRule>
    <cfRule type="cellIs" dxfId="3293" priority="136" operator="equal">
      <formula>"KC"</formula>
    </cfRule>
    <cfRule type="cellIs" dxfId="3292" priority="137" operator="equal">
      <formula>"ARI"</formula>
    </cfRule>
    <cfRule type="cellIs" dxfId="3291" priority="138" operator="equal">
      <formula>"LA"</formula>
    </cfRule>
    <cfRule type="cellIs" dxfId="3290" priority="139" operator="equal">
      <formula>"SD"</formula>
    </cfRule>
    <cfRule type="cellIs" dxfId="3289" priority="140" operator="equal">
      <formula>"NO"</formula>
    </cfRule>
    <cfRule type="cellIs" dxfId="3288" priority="141" operator="equal">
      <formula>"SF"</formula>
    </cfRule>
    <cfRule type="cellIs" dxfId="3287" priority="142" operator="equal">
      <formula>"DAL"</formula>
    </cfRule>
    <cfRule type="cellIs" dxfId="3286" priority="143" operator="equal">
      <formula>"TB"</formula>
    </cfRule>
    <cfRule type="cellIs" dxfId="3285" priority="144" operator="equal">
      <formula>"DEN"</formula>
    </cfRule>
    <cfRule type="cellIs" dxfId="3284" priority="145" operator="equal">
      <formula>"BAL"</formula>
    </cfRule>
    <cfRule type="cellIs" dxfId="3283" priority="146" operator="equal">
      <formula>"OAK"</formula>
    </cfRule>
    <cfRule type="cellIs" dxfId="3282" priority="147" operator="equal">
      <formula>"HOU"</formula>
    </cfRule>
    <cfRule type="cellIs" dxfId="3281" priority="148" operator="equal">
      <formula>"TEN"</formula>
    </cfRule>
    <cfRule type="cellIs" dxfId="3280" priority="149" operator="equal">
      <formula>"CHI"</formula>
    </cfRule>
    <cfRule type="cellIs" dxfId="3279" priority="150" operator="equal">
      <formula>"DET"</formula>
    </cfRule>
    <cfRule type="cellIs" dxfId="3278" priority="151" operator="equal">
      <formula>"ATL"</formula>
    </cfRule>
    <cfRule type="cellIs" dxfId="3277" priority="152" operator="equal">
      <formula>"CAR"</formula>
    </cfRule>
    <cfRule type="cellIs" dxfId="3276" priority="153" operator="equal">
      <formula>"IND"</formula>
    </cfRule>
    <cfRule type="cellIs" dxfId="3275" priority="154" operator="equal">
      <formula>"JAX"</formula>
    </cfRule>
    <cfRule type="cellIs" dxfId="3274" priority="155" operator="equal">
      <formula>"NYJ"</formula>
    </cfRule>
    <cfRule type="cellIs" dxfId="3273" priority="156" operator="equal">
      <formula>"SEA"</formula>
    </cfRule>
    <cfRule type="cellIs" dxfId="3272" priority="157" operator="equal">
      <formula>"NE"</formula>
    </cfRule>
    <cfRule type="cellIs" dxfId="3271" priority="158" operator="equal">
      <formula>"BUF"</formula>
    </cfRule>
    <cfRule type="cellIs" dxfId="3270" priority="159" operator="equal">
      <formula>"WAS"</formula>
    </cfRule>
    <cfRule type="cellIs" dxfId="3269" priority="160" operator="equal">
      <formula>"CLE"</formula>
    </cfRule>
    <cfRule type="cellIs" dxfId="3268" priority="161" operator="equal">
      <formula>"CIN"</formula>
    </cfRule>
    <cfRule type="cellIs" dxfId="3267" priority="162" operator="equal">
      <formula>"MIA"</formula>
    </cfRule>
  </conditionalFormatting>
  <conditionalFormatting sqref="C25:P25 P26:P33 C26:O38">
    <cfRule type="colorScale" priority="605">
      <colorScale>
        <cfvo type="min"/>
        <cfvo type="max"/>
        <color rgb="FFFCFCFF"/>
        <color rgb="FF63BE7B"/>
      </colorScale>
    </cfRule>
  </conditionalFormatting>
  <conditionalFormatting sqref="B37:B38">
    <cfRule type="cellIs" dxfId="3266" priority="66" operator="equal">
      <formula>"PHI"</formula>
    </cfRule>
    <cfRule type="cellIs" dxfId="3265" priority="67" operator="equal">
      <formula>"GB"</formula>
    </cfRule>
    <cfRule type="cellIs" dxfId="3264" priority="68" operator="equal">
      <formula>"MIN"</formula>
    </cfRule>
    <cfRule type="cellIs" dxfId="3263" priority="69" operator="equal">
      <formula>"NYG"</formula>
    </cfRule>
    <cfRule type="cellIs" dxfId="3262" priority="70" operator="equal">
      <formula>"PIT"</formula>
    </cfRule>
    <cfRule type="cellIs" dxfId="3261" priority="71" operator="equal">
      <formula>"KC"</formula>
    </cfRule>
    <cfRule type="cellIs" dxfId="3260" priority="72" operator="equal">
      <formula>"ARI"</formula>
    </cfRule>
    <cfRule type="cellIs" dxfId="3259" priority="73" operator="equal">
      <formula>"LA"</formula>
    </cfRule>
    <cfRule type="cellIs" dxfId="3258" priority="74" operator="equal">
      <formula>"SD"</formula>
    </cfRule>
    <cfRule type="cellIs" dxfId="3257" priority="75" operator="equal">
      <formula>"NO"</formula>
    </cfRule>
    <cfRule type="cellIs" dxfId="3256" priority="76" operator="equal">
      <formula>"SF"</formula>
    </cfRule>
    <cfRule type="cellIs" dxfId="3255" priority="77" operator="equal">
      <formula>"DAL"</formula>
    </cfRule>
    <cfRule type="cellIs" dxfId="3254" priority="78" operator="equal">
      <formula>"TB"</formula>
    </cfRule>
    <cfRule type="cellIs" dxfId="3253" priority="79" operator="equal">
      <formula>"DEN"</formula>
    </cfRule>
    <cfRule type="cellIs" dxfId="3252" priority="80" operator="equal">
      <formula>"BAL"</formula>
    </cfRule>
    <cfRule type="cellIs" dxfId="3251" priority="81" operator="equal">
      <formula>"OAK"</formula>
    </cfRule>
    <cfRule type="cellIs" dxfId="3250" priority="82" operator="equal">
      <formula>"HOU"</formula>
    </cfRule>
    <cfRule type="cellIs" dxfId="3249" priority="83" operator="equal">
      <formula>"TEN"</formula>
    </cfRule>
    <cfRule type="cellIs" dxfId="3248" priority="84" operator="equal">
      <formula>"CHI"</formula>
    </cfRule>
    <cfRule type="cellIs" dxfId="3247" priority="85" operator="equal">
      <formula>"DET"</formula>
    </cfRule>
    <cfRule type="cellIs" dxfId="3246" priority="86" operator="equal">
      <formula>"ATL"</formula>
    </cfRule>
    <cfRule type="cellIs" dxfId="3245" priority="87" operator="equal">
      <formula>"CAR"</formula>
    </cfRule>
    <cfRule type="cellIs" dxfId="3244" priority="88" operator="equal">
      <formula>"IND"</formula>
    </cfRule>
    <cfRule type="cellIs" dxfId="3243" priority="89" operator="equal">
      <formula>"JAX"</formula>
    </cfRule>
    <cfRule type="cellIs" dxfId="3242" priority="90" operator="equal">
      <formula>"NYJ"</formula>
    </cfRule>
    <cfRule type="cellIs" dxfId="3241" priority="91" operator="equal">
      <formula>"SEA"</formula>
    </cfRule>
    <cfRule type="cellIs" dxfId="3240" priority="92" operator="equal">
      <formula>"NE"</formula>
    </cfRule>
    <cfRule type="cellIs" dxfId="3239" priority="93" operator="equal">
      <formula>"BUF"</formula>
    </cfRule>
    <cfRule type="cellIs" dxfId="3238" priority="94" operator="equal">
      <formula>"WAS"</formula>
    </cfRule>
    <cfRule type="cellIs" dxfId="3237" priority="95" operator="equal">
      <formula>"CLE"</formula>
    </cfRule>
    <cfRule type="cellIs" dxfId="3236" priority="96" operator="equal">
      <formula>"CIN"</formula>
    </cfRule>
    <cfRule type="cellIs" dxfId="3235" priority="97" operator="equal">
      <formula>"MIA"</formula>
    </cfRule>
  </conditionalFormatting>
  <conditionalFormatting sqref="C24:O24">
    <cfRule type="cellIs" dxfId="3234" priority="34" operator="equal">
      <formula>"PHI"</formula>
    </cfRule>
    <cfRule type="cellIs" dxfId="3233" priority="35" operator="equal">
      <formula>"GB"</formula>
    </cfRule>
    <cfRule type="cellIs" dxfId="3232" priority="36" operator="equal">
      <formula>"MIN"</formula>
    </cfRule>
    <cfRule type="cellIs" dxfId="3231" priority="37" operator="equal">
      <formula>"NYG"</formula>
    </cfRule>
    <cfRule type="cellIs" dxfId="3230" priority="38" operator="equal">
      <formula>"PIT"</formula>
    </cfRule>
    <cfRule type="cellIs" dxfId="3229" priority="39" operator="equal">
      <formula>"KC"</formula>
    </cfRule>
    <cfRule type="cellIs" dxfId="3228" priority="40" operator="equal">
      <formula>"ARI"</formula>
    </cfRule>
    <cfRule type="cellIs" dxfId="3227" priority="41" operator="equal">
      <formula>"LA"</formula>
    </cfRule>
    <cfRule type="cellIs" dxfId="3226" priority="42" operator="equal">
      <formula>"SD"</formula>
    </cfRule>
    <cfRule type="cellIs" dxfId="3225" priority="43" operator="equal">
      <formula>"NO"</formula>
    </cfRule>
    <cfRule type="cellIs" dxfId="3224" priority="44" operator="equal">
      <formula>"SF"</formula>
    </cfRule>
    <cfRule type="cellIs" dxfId="3223" priority="45" operator="equal">
      <formula>"DAL"</formula>
    </cfRule>
    <cfRule type="cellIs" dxfId="3222" priority="46" operator="equal">
      <formula>"TB"</formula>
    </cfRule>
    <cfRule type="cellIs" dxfId="3221" priority="47" operator="equal">
      <formula>"DEN"</formula>
    </cfRule>
    <cfRule type="cellIs" dxfId="3220" priority="48" operator="equal">
      <formula>"BAL"</formula>
    </cfRule>
    <cfRule type="cellIs" dxfId="3219" priority="49" operator="equal">
      <formula>"OAK"</formula>
    </cfRule>
    <cfRule type="cellIs" dxfId="3218" priority="50" operator="equal">
      <formula>"HOU"</formula>
    </cfRule>
    <cfRule type="cellIs" dxfId="3217" priority="51" operator="equal">
      <formula>"TEN"</formula>
    </cfRule>
    <cfRule type="cellIs" dxfId="3216" priority="52" operator="equal">
      <formula>"CHI"</formula>
    </cfRule>
    <cfRule type="cellIs" dxfId="3215" priority="53" operator="equal">
      <formula>"DET"</formula>
    </cfRule>
    <cfRule type="cellIs" dxfId="3214" priority="54" operator="equal">
      <formula>"ATL"</formula>
    </cfRule>
    <cfRule type="cellIs" dxfId="3213" priority="55" operator="equal">
      <formula>"CAR"</formula>
    </cfRule>
    <cfRule type="cellIs" dxfId="3212" priority="56" operator="equal">
      <formula>"IND"</formula>
    </cfRule>
    <cfRule type="cellIs" dxfId="3211" priority="57" operator="equal">
      <formula>"JAX"</formula>
    </cfRule>
    <cfRule type="cellIs" dxfId="3210" priority="58" operator="equal">
      <formula>"NYJ"</formula>
    </cfRule>
    <cfRule type="cellIs" dxfId="3209" priority="59" operator="equal">
      <formula>"SEA"</formula>
    </cfRule>
    <cfRule type="cellIs" dxfId="3208" priority="60" operator="equal">
      <formula>"NE"</formula>
    </cfRule>
    <cfRule type="cellIs" dxfId="3207" priority="61" operator="equal">
      <formula>"BUF"</formula>
    </cfRule>
    <cfRule type="cellIs" dxfId="3206" priority="62" operator="equal">
      <formula>"WAS"</formula>
    </cfRule>
    <cfRule type="cellIs" dxfId="3205" priority="63" operator="equal">
      <formula>"CLE"</formula>
    </cfRule>
    <cfRule type="cellIs" dxfId="3204" priority="64" operator="equal">
      <formula>"CIN"</formula>
    </cfRule>
    <cfRule type="cellIs" dxfId="3203" priority="65" operator="equal">
      <formula>"MIA"</formula>
    </cfRule>
  </conditionalFormatting>
  <conditionalFormatting sqref="N13">
    <cfRule type="cellIs" dxfId="3202" priority="33" operator="equal">
      <formula>"OAK"</formula>
    </cfRule>
  </conditionalFormatting>
  <conditionalFormatting sqref="S6:S19">
    <cfRule type="cellIs" dxfId="3201" priority="1" operator="equal">
      <formula>"PHI"</formula>
    </cfRule>
    <cfRule type="cellIs" dxfId="3200" priority="2" operator="equal">
      <formula>"GB"</formula>
    </cfRule>
    <cfRule type="cellIs" dxfId="3199" priority="3" operator="equal">
      <formula>"MIN"</formula>
    </cfRule>
    <cfRule type="cellIs" dxfId="3198" priority="4" operator="equal">
      <formula>"NYG"</formula>
    </cfRule>
    <cfRule type="cellIs" dxfId="3197" priority="5" operator="equal">
      <formula>"PIT"</formula>
    </cfRule>
    <cfRule type="cellIs" dxfId="3196" priority="6" operator="equal">
      <formula>"KC"</formula>
    </cfRule>
    <cfRule type="cellIs" dxfId="3195" priority="7" operator="equal">
      <formula>"ARI"</formula>
    </cfRule>
    <cfRule type="cellIs" dxfId="3194" priority="8" operator="equal">
      <formula>"LA"</formula>
    </cfRule>
    <cfRule type="cellIs" dxfId="3193" priority="9" operator="equal">
      <formula>"SD"</formula>
    </cfRule>
    <cfRule type="cellIs" dxfId="3192" priority="10" operator="equal">
      <formula>"NO"</formula>
    </cfRule>
    <cfRule type="cellIs" dxfId="3191" priority="11" operator="equal">
      <formula>"SF"</formula>
    </cfRule>
    <cfRule type="cellIs" dxfId="3190" priority="12" operator="equal">
      <formula>"DAL"</formula>
    </cfRule>
    <cfRule type="cellIs" dxfId="3189" priority="13" operator="equal">
      <formula>"TB"</formula>
    </cfRule>
    <cfRule type="cellIs" dxfId="3188" priority="14" operator="equal">
      <formula>"DEN"</formula>
    </cfRule>
    <cfRule type="cellIs" dxfId="3187" priority="15" operator="equal">
      <formula>"BAL"</formula>
    </cfRule>
    <cfRule type="cellIs" dxfId="3186" priority="16" operator="equal">
      <formula>"OAK"</formula>
    </cfRule>
    <cfRule type="cellIs" dxfId="3185" priority="17" operator="equal">
      <formula>"HOU"</formula>
    </cfRule>
    <cfRule type="cellIs" dxfId="3184" priority="18" operator="equal">
      <formula>"TEN"</formula>
    </cfRule>
    <cfRule type="cellIs" dxfId="3183" priority="19" operator="equal">
      <formula>"CHI"</formula>
    </cfRule>
    <cfRule type="cellIs" dxfId="3182" priority="20" operator="equal">
      <formula>"DET"</formula>
    </cfRule>
    <cfRule type="cellIs" dxfId="3181" priority="21" operator="equal">
      <formula>"ATL"</formula>
    </cfRule>
    <cfRule type="cellIs" dxfId="3180" priority="22" operator="equal">
      <formula>"CAR"</formula>
    </cfRule>
    <cfRule type="cellIs" dxfId="3179" priority="23" operator="equal">
      <formula>"IND"</formula>
    </cfRule>
    <cfRule type="cellIs" dxfId="3178" priority="24" operator="equal">
      <formula>"JAX"</formula>
    </cfRule>
    <cfRule type="cellIs" dxfId="3177" priority="25" operator="equal">
      <formula>"NYJ"</formula>
    </cfRule>
    <cfRule type="cellIs" dxfId="3176" priority="26" operator="equal">
      <formula>"SEA"</formula>
    </cfRule>
    <cfRule type="cellIs" dxfId="3175" priority="27" operator="equal">
      <formula>"NE"</formula>
    </cfRule>
    <cfRule type="cellIs" dxfId="3174" priority="28" operator="equal">
      <formula>"BUF"</formula>
    </cfRule>
    <cfRule type="cellIs" dxfId="3173" priority="29" operator="equal">
      <formula>"WAS"</formula>
    </cfRule>
    <cfRule type="cellIs" dxfId="3172" priority="30" operator="equal">
      <formula>"CLE"</formula>
    </cfRule>
    <cfRule type="cellIs" dxfId="3171" priority="31" operator="equal">
      <formula>"CIN"</formula>
    </cfRule>
    <cfRule type="cellIs" dxfId="3170" priority="32" operator="equal">
      <formula>"MIA"</formula>
    </cfRule>
  </conditionalFormatting>
  <pageMargins left="0.7" right="0.7" top="0.75" bottom="0.75" header="0.3" footer="0.3"/>
  <pageSetup orientation="portrait" r:id="rId1"/>
  <ignoredErrors>
    <ignoredError sqref="C25" calculatedColumn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  <vt:lpstr>Full Season</vt:lpstr>
      <vt:lpstr>Money League</vt:lpstr>
    </vt:vector>
  </TitlesOfParts>
  <Company>Cerner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Robke,Tyson</cp:lastModifiedBy>
  <dcterms:created xsi:type="dcterms:W3CDTF">2016-09-08T22:08:49Z</dcterms:created>
  <dcterms:modified xsi:type="dcterms:W3CDTF">2017-01-02T22:46:00Z</dcterms:modified>
</cp:coreProperties>
</file>