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updateLinks="never" codeName="ThisWorkbook"/>
  <mc:AlternateContent xmlns:mc="http://schemas.openxmlformats.org/markup-compatibility/2006">
    <mc:Choice Requires="x15">
      <x15ac:absPath xmlns:x15ac="http://schemas.microsoft.com/office/spreadsheetml/2010/11/ac" url="C:\Users\tyson.robke\Downloads\"/>
    </mc:Choice>
  </mc:AlternateContent>
  <xr:revisionPtr revIDLastSave="0" documentId="13_ncr:1_{9AABA345-B1E6-4B90-8E21-7962E634702A}" xr6:coauthVersionLast="47" xr6:coauthVersionMax="47" xr10:uidLastSave="{00000000-0000-0000-0000-000000000000}"/>
  <bookViews>
    <workbookView showHorizontalScroll="0" showVerticalScroll="0" xWindow="-108" yWindow="-108" windowWidth="23256" windowHeight="12576" tabRatio="915" xr2:uid="{00000000-000D-0000-FFFF-FFFF00000000}"/>
  </bookViews>
  <sheets>
    <sheet name="Scoreboard" sheetId="1" r:id="rId1"/>
    <sheet name="Cornhole15" sheetId="4" state="hidden" r:id="rId2"/>
    <sheet name="Cornhole" sheetId="17" r:id="rId3"/>
    <sheet name="Stump" sheetId="9" r:id="rId4"/>
    <sheet name="Knockout" sheetId="8" r:id="rId5"/>
    <sheet name="Kubb" sheetId="5" r:id="rId6"/>
    <sheet name="Golf" sheetId="22" r:id="rId7"/>
    <sheet name="Golf15" sheetId="6" state="hidden" r:id="rId8"/>
    <sheet name="Frisbee" sheetId="15" r:id="rId9"/>
    <sheet name="Relay" sheetId="12" r:id="rId10"/>
    <sheet name="Pass the Trash" sheetId="14" r:id="rId11"/>
    <sheet name="Format" sheetId="3" state="hidden" r:id="rId12"/>
    <sheet name="2016 Results" sheetId="2" state="hidden" r:id="rId13"/>
    <sheet name="2017 Results" sheetId="13" state="hidden" r:id="rId14"/>
    <sheet name="2018 Results" sheetId="16" state="hidden" r:id="rId15"/>
    <sheet name="2019 Results" sheetId="19" state="hidden" r:id="rId16"/>
    <sheet name="Archives" sheetId="24" r:id="rId17"/>
  </sheets>
  <externalReferences>
    <externalReference r:id="rId18"/>
    <externalReference r:id="rId19"/>
  </externalReferences>
  <definedNames>
    <definedName name="show_game_numbers">[1]Instructions!$F$24</definedName>
    <definedName name="show_seed_numbers">[1]Instructions!$F$18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 i="1" l="1"/>
  <c r="K20" i="1"/>
  <c r="I15" i="22"/>
  <c r="I10" i="22"/>
  <c r="J11" i="22"/>
  <c r="J18" i="22"/>
  <c r="J5" i="22"/>
  <c r="I12" i="22"/>
  <c r="I4" i="22"/>
  <c r="J16" i="22"/>
  <c r="J8" i="22"/>
  <c r="J17" i="22"/>
  <c r="I19" i="22"/>
  <c r="I9" i="22"/>
  <c r="I13" i="22"/>
  <c r="I6" i="22"/>
  <c r="I14" i="22"/>
  <c r="I17" i="22"/>
  <c r="J19" i="22"/>
  <c r="J13" i="22"/>
  <c r="I7" i="22"/>
  <c r="J4" i="22"/>
  <c r="J7" i="22"/>
  <c r="J6" i="22"/>
  <c r="E13" i="12"/>
  <c r="E12" i="12"/>
  <c r="E11" i="12"/>
  <c r="E10" i="12"/>
  <c r="K13" i="12"/>
  <c r="K12" i="12"/>
  <c r="K11" i="12"/>
  <c r="K10" i="12"/>
  <c r="Q10" i="14"/>
  <c r="L10" i="14" s="1"/>
  <c r="O10" i="14" s="1"/>
  <c r="Q11" i="14"/>
  <c r="M11" i="14" s="1"/>
  <c r="N11" i="14" s="1"/>
  <c r="P11" i="14" s="1"/>
  <c r="Q12" i="14"/>
  <c r="K12" i="14" s="1"/>
  <c r="Q13" i="14"/>
  <c r="M13" i="14" s="1"/>
  <c r="N13" i="14" s="1"/>
  <c r="Q14" i="14"/>
  <c r="M14" i="14" s="1"/>
  <c r="N14" i="14" s="1"/>
  <c r="Q15" i="14"/>
  <c r="L15" i="14" s="1"/>
  <c r="O15" i="14" s="1"/>
  <c r="Q16" i="14"/>
  <c r="M16" i="14" s="1"/>
  <c r="N16" i="14" s="1"/>
  <c r="Q17" i="14"/>
  <c r="K17" i="14" s="1"/>
  <c r="Q18" i="14"/>
  <c r="M18" i="14" s="1"/>
  <c r="N18" i="14" s="1"/>
  <c r="Q19" i="14"/>
  <c r="K19" i="14" s="1"/>
  <c r="Q20" i="14"/>
  <c r="M20" i="14" s="1"/>
  <c r="N20" i="14" s="1"/>
  <c r="Q21" i="14"/>
  <c r="L21" i="14" s="1"/>
  <c r="O21" i="14" s="1"/>
  <c r="Q22" i="14"/>
  <c r="K22" i="14" s="1"/>
  <c r="Q23" i="14"/>
  <c r="K23" i="14" s="1"/>
  <c r="Q24" i="14"/>
  <c r="M24" i="14" s="1"/>
  <c r="N24" i="14" s="1"/>
  <c r="M29" i="5"/>
  <c r="M30" i="5"/>
  <c r="M28" i="5"/>
  <c r="M13" i="5"/>
  <c r="Q10" i="8"/>
  <c r="K10" i="8" s="1"/>
  <c r="Q11" i="8"/>
  <c r="K11" i="8" s="1"/>
  <c r="Q12" i="8"/>
  <c r="K12" i="8" s="1"/>
  <c r="Q13" i="8"/>
  <c r="L13" i="8" s="1"/>
  <c r="O13" i="8" s="1"/>
  <c r="Q14" i="8"/>
  <c r="M14" i="8" s="1"/>
  <c r="N14" i="8" s="1"/>
  <c r="Q15" i="8"/>
  <c r="M15" i="8" s="1"/>
  <c r="N15" i="8" s="1"/>
  <c r="Q16" i="8"/>
  <c r="K16" i="8" s="1"/>
  <c r="Q17" i="8"/>
  <c r="L17" i="8" s="1"/>
  <c r="O17" i="8" s="1"/>
  <c r="Q18" i="8"/>
  <c r="L18" i="8" s="1"/>
  <c r="O18" i="8" s="1"/>
  <c r="Q19" i="8"/>
  <c r="M19" i="8" s="1"/>
  <c r="N19" i="8" s="1"/>
  <c r="Q20" i="8"/>
  <c r="M20" i="8" s="1"/>
  <c r="N20" i="8" s="1"/>
  <c r="Q21" i="8"/>
  <c r="L21" i="8" s="1"/>
  <c r="O21" i="8" s="1"/>
  <c r="Q22" i="8"/>
  <c r="L22" i="8" s="1"/>
  <c r="O22" i="8" s="1"/>
  <c r="Q23" i="8"/>
  <c r="L23" i="8" s="1"/>
  <c r="O23" i="8" s="1"/>
  <c r="Q24" i="8"/>
  <c r="L24" i="8" s="1"/>
  <c r="O24" i="8" s="1"/>
  <c r="Q9" i="8"/>
  <c r="L9" i="8" s="1"/>
  <c r="O9" i="8" s="1"/>
  <c r="Q10" i="9"/>
  <c r="M10" i="9" s="1"/>
  <c r="N10" i="9" s="1"/>
  <c r="Q11" i="9"/>
  <c r="L11" i="9" s="1"/>
  <c r="O11" i="9" s="1"/>
  <c r="Q12" i="9"/>
  <c r="L12" i="9" s="1"/>
  <c r="O12" i="9" s="1"/>
  <c r="Q13" i="9"/>
  <c r="L13" i="9" s="1"/>
  <c r="O13" i="9" s="1"/>
  <c r="Q14" i="9"/>
  <c r="K14" i="9" s="1"/>
  <c r="Q15" i="9"/>
  <c r="M15" i="9" s="1"/>
  <c r="N15" i="9" s="1"/>
  <c r="Q16" i="9"/>
  <c r="K16" i="9" s="1"/>
  <c r="Q17" i="9"/>
  <c r="K17" i="9" s="1"/>
  <c r="Q18" i="9"/>
  <c r="M18" i="9" s="1"/>
  <c r="N18" i="9" s="1"/>
  <c r="Q19" i="9"/>
  <c r="K19" i="9" s="1"/>
  <c r="Q20" i="9"/>
  <c r="K20" i="9" s="1"/>
  <c r="Q21" i="9"/>
  <c r="K21" i="9" s="1"/>
  <c r="Q22" i="9"/>
  <c r="L22" i="9" s="1"/>
  <c r="O22" i="9" s="1"/>
  <c r="Q23" i="9"/>
  <c r="L23" i="9" s="1"/>
  <c r="O23" i="9" s="1"/>
  <c r="Q24" i="9"/>
  <c r="K24" i="9" s="1"/>
  <c r="Q9" i="9"/>
  <c r="L9" i="9" s="1"/>
  <c r="V24" i="17"/>
  <c r="V22" i="17"/>
  <c r="V21" i="17"/>
  <c r="V20" i="17"/>
  <c r="V19" i="17"/>
  <c r="V18" i="17"/>
  <c r="O25" i="17"/>
  <c r="V25" i="17" s="1"/>
  <c r="O18" i="17"/>
  <c r="V23" i="17" s="1"/>
  <c r="O2" i="17"/>
  <c r="B45" i="17"/>
  <c r="B6" i="17"/>
  <c r="B12" i="17"/>
  <c r="B17" i="17"/>
  <c r="B23" i="17"/>
  <c r="B28" i="17"/>
  <c r="B43" i="17"/>
  <c r="C5" i="17"/>
  <c r="C11" i="17" s="1"/>
  <c r="C16" i="17" s="1"/>
  <c r="C22" i="17" s="1"/>
  <c r="C27" i="17" s="1"/>
  <c r="C33" i="17" s="1"/>
  <c r="C38" i="17" s="1"/>
  <c r="C44" i="17" s="1"/>
  <c r="C54" i="17" s="1"/>
  <c r="C61" i="17" s="1"/>
  <c r="C69" i="17" s="1"/>
  <c r="C76" i="17" s="1"/>
  <c r="E8" i="17" s="1"/>
  <c r="E19" i="17" s="1"/>
  <c r="E30" i="17" s="1"/>
  <c r="E41" i="17" s="1"/>
  <c r="E52" i="17" s="1"/>
  <c r="E59" i="17" s="1"/>
  <c r="E67" i="17" s="1"/>
  <c r="E74" i="17" s="1"/>
  <c r="G16" i="17" s="1"/>
  <c r="B37" i="17"/>
  <c r="B15" i="17"/>
  <c r="B26" i="17"/>
  <c r="B39" i="17"/>
  <c r="B4" i="17"/>
  <c r="B10" i="17"/>
  <c r="B21" i="17"/>
  <c r="B32" i="17"/>
  <c r="B34" i="17"/>
  <c r="N21" i="4"/>
  <c r="Y37" i="4" s="1"/>
  <c r="H26" i="12"/>
  <c r="H27" i="12"/>
  <c r="H28" i="12"/>
  <c r="H29" i="12"/>
  <c r="H30" i="12"/>
  <c r="H31" i="12"/>
  <c r="H32" i="12"/>
  <c r="H25" i="12"/>
  <c r="Y38" i="6"/>
  <c r="Y36" i="6"/>
  <c r="Y35" i="6"/>
  <c r="Y34" i="6"/>
  <c r="Y33" i="6"/>
  <c r="Y32" i="6"/>
  <c r="S21" i="15"/>
  <c r="S20" i="15"/>
  <c r="S19" i="15"/>
  <c r="S18" i="15"/>
  <c r="S17" i="15"/>
  <c r="S16" i="15"/>
  <c r="S14" i="15"/>
  <c r="Y38" i="4"/>
  <c r="Y36" i="4"/>
  <c r="Y35" i="4"/>
  <c r="Y34" i="4"/>
  <c r="Y33" i="4"/>
  <c r="Y32" i="4"/>
  <c r="N28" i="4"/>
  <c r="Y39" i="4" s="1"/>
  <c r="N28" i="6"/>
  <c r="Y39" i="6" s="1"/>
  <c r="N21" i="6"/>
  <c r="Y37" i="6" s="1"/>
  <c r="M24" i="15"/>
  <c r="S15" i="15" s="1"/>
  <c r="O27" i="15"/>
  <c r="O26" i="15"/>
  <c r="P22" i="15"/>
  <c r="P21" i="15"/>
  <c r="P20" i="15"/>
  <c r="P19" i="15"/>
  <c r="I7" i="15"/>
  <c r="I6" i="15"/>
  <c r="I5" i="15"/>
  <c r="I4" i="15"/>
  <c r="I3" i="15"/>
  <c r="I2" i="15"/>
  <c r="H9" i="15"/>
  <c r="H8" i="15"/>
  <c r="H7" i="15"/>
  <c r="H6" i="15"/>
  <c r="H5" i="15"/>
  <c r="H4" i="15"/>
  <c r="H3" i="15"/>
  <c r="H2" i="15"/>
  <c r="S13" i="15"/>
  <c r="S12" i="15"/>
  <c r="S11" i="15"/>
  <c r="M19" i="5"/>
  <c r="G10" i="1" s="1"/>
  <c r="M22" i="5"/>
  <c r="M21" i="5"/>
  <c r="K21" i="14"/>
  <c r="Q9" i="14"/>
  <c r="M9" i="14" s="1"/>
  <c r="N9" i="14" s="1"/>
  <c r="K13" i="14"/>
  <c r="M26" i="5"/>
  <c r="M27" i="5"/>
  <c r="M25" i="5"/>
  <c r="M23" i="5"/>
  <c r="M24" i="5"/>
  <c r="M20" i="5"/>
  <c r="M17" i="5"/>
  <c r="M18" i="5"/>
  <c r="M16" i="5"/>
  <c r="G18" i="1" s="1"/>
  <c r="M15" i="5"/>
  <c r="M14" i="5"/>
  <c r="V13" i="12"/>
  <c r="V12" i="12"/>
  <c r="V11" i="12"/>
  <c r="V10" i="12"/>
  <c r="B15" i="6"/>
  <c r="B20" i="6" s="1"/>
  <c r="B26" i="6" s="1"/>
  <c r="B31" i="6" s="1"/>
  <c r="B37" i="6" s="1"/>
  <c r="B42" i="6" s="1"/>
  <c r="B48" i="6" s="1"/>
  <c r="D12" i="6" s="1"/>
  <c r="D23" i="6" s="1"/>
  <c r="D34" i="6" s="1"/>
  <c r="D45" i="6" s="1"/>
  <c r="B58" i="6" s="1"/>
  <c r="B65" i="6" s="1"/>
  <c r="B80" i="6" s="1"/>
  <c r="D71" i="6" s="1"/>
  <c r="D56" i="6" s="1"/>
  <c r="D63" i="6" s="1"/>
  <c r="D78" i="6" s="1"/>
  <c r="F20" i="6" s="1"/>
  <c r="F37" i="6" s="1"/>
  <c r="F59" i="6" s="1"/>
  <c r="F74" i="6" s="1"/>
  <c r="H63" i="6" s="1"/>
  <c r="H78" i="6" s="1"/>
  <c r="H31" i="6" s="1"/>
  <c r="J71" i="6" s="1"/>
  <c r="L63" i="6" s="1"/>
  <c r="J37" i="6" s="1"/>
  <c r="L45" i="6" s="1"/>
  <c r="A14" i="4"/>
  <c r="H2" i="5"/>
  <c r="H1" i="5"/>
  <c r="A36" i="6"/>
  <c r="A25" i="6"/>
  <c r="A43" i="6"/>
  <c r="A32" i="6"/>
  <c r="A21" i="6"/>
  <c r="A14" i="6"/>
  <c r="A41" i="6"/>
  <c r="A30" i="6"/>
  <c r="A19" i="6"/>
  <c r="C9" i="6"/>
  <c r="A38" i="6"/>
  <c r="A27" i="6"/>
  <c r="A16" i="6"/>
  <c r="A32" i="4"/>
  <c r="A25" i="4"/>
  <c r="A19" i="4"/>
  <c r="A36" i="4"/>
  <c r="A21" i="4"/>
  <c r="B20" i="4"/>
  <c r="B26" i="4" s="1"/>
  <c r="B31" i="4" s="1"/>
  <c r="B37" i="4" s="1"/>
  <c r="B42" i="4" s="1"/>
  <c r="B48" i="4" s="1"/>
  <c r="D12" i="4" s="1"/>
  <c r="D23" i="4" s="1"/>
  <c r="D34" i="4" s="1"/>
  <c r="D45" i="4" s="1"/>
  <c r="B58" i="4" s="1"/>
  <c r="B65" i="4" s="1"/>
  <c r="B80" i="4" s="1"/>
  <c r="D71" i="4" s="1"/>
  <c r="D56" i="4" s="1"/>
  <c r="D63" i="4" s="1"/>
  <c r="D78" i="4" s="1"/>
  <c r="F20" i="4" s="1"/>
  <c r="F37" i="4" s="1"/>
  <c r="F59" i="4" s="1"/>
  <c r="F74" i="4" s="1"/>
  <c r="H63" i="4" s="1"/>
  <c r="H78" i="4" s="1"/>
  <c r="H31" i="4" s="1"/>
  <c r="J71" i="4" s="1"/>
  <c r="L63" i="4" s="1"/>
  <c r="J37" i="4" s="1"/>
  <c r="L45" i="4" s="1"/>
  <c r="A30" i="4"/>
  <c r="A27" i="4"/>
  <c r="A41" i="4"/>
  <c r="A38" i="4"/>
  <c r="A43" i="4"/>
  <c r="A16" i="4"/>
  <c r="D6" i="1" l="1"/>
  <c r="G8" i="1"/>
  <c r="G5" i="1"/>
  <c r="M15" i="14"/>
  <c r="N15" i="14" s="1"/>
  <c r="P15" i="14" s="1"/>
  <c r="S15" i="14" s="1"/>
  <c r="G4" i="1"/>
  <c r="G16" i="1"/>
  <c r="G15" i="1"/>
  <c r="K20" i="8"/>
  <c r="K15" i="14"/>
  <c r="L10" i="9"/>
  <c r="O10" i="9" s="1"/>
  <c r="G17" i="1"/>
  <c r="G14" i="1"/>
  <c r="G7" i="1"/>
  <c r="G11" i="1"/>
  <c r="G6" i="1"/>
  <c r="G9" i="1"/>
  <c r="G12" i="1"/>
  <c r="G19" i="1"/>
  <c r="G13" i="1"/>
  <c r="L11" i="8"/>
  <c r="O11" i="8" s="1"/>
  <c r="L16" i="8"/>
  <c r="O16" i="8" s="1"/>
  <c r="M9" i="9"/>
  <c r="N9" i="9" s="1"/>
  <c r="M17" i="8"/>
  <c r="N17" i="8" s="1"/>
  <c r="P17" i="8" s="1"/>
  <c r="S17" i="8" s="1"/>
  <c r="J10" i="22"/>
  <c r="I5" i="22"/>
  <c r="J15" i="22"/>
  <c r="I16" i="22"/>
  <c r="M22" i="14"/>
  <c r="N22" i="14" s="1"/>
  <c r="K18" i="14"/>
  <c r="K17" i="8"/>
  <c r="K13" i="8"/>
  <c r="J14" i="22"/>
  <c r="J9" i="22"/>
  <c r="J12" i="22"/>
  <c r="I11" i="22"/>
  <c r="I8" i="22"/>
  <c r="I18" i="22"/>
  <c r="H6" i="1"/>
  <c r="L18" i="14"/>
  <c r="O18" i="14" s="1"/>
  <c r="K10" i="14"/>
  <c r="L11" i="14"/>
  <c r="M12" i="14"/>
  <c r="N12" i="14" s="1"/>
  <c r="P12" i="14" s="1"/>
  <c r="L20" i="14"/>
  <c r="O20" i="14" s="1"/>
  <c r="K20" i="14"/>
  <c r="L12" i="14"/>
  <c r="M12" i="9"/>
  <c r="N12" i="9" s="1"/>
  <c r="P12" i="9" s="1"/>
  <c r="R12" i="9" s="1"/>
  <c r="L12" i="8"/>
  <c r="O12" i="8" s="1"/>
  <c r="M12" i="8"/>
  <c r="N12" i="8" s="1"/>
  <c r="K22" i="8"/>
  <c r="K14" i="8"/>
  <c r="K15" i="9"/>
  <c r="L15" i="8"/>
  <c r="O15" i="8" s="1"/>
  <c r="P15" i="8" s="1"/>
  <c r="S15" i="8" s="1"/>
  <c r="L18" i="9"/>
  <c r="O18" i="9" s="1"/>
  <c r="P18" i="9" s="1"/>
  <c r="R18" i="9" s="1"/>
  <c r="L14" i="8"/>
  <c r="O14" i="8" s="1"/>
  <c r="P14" i="8" s="1"/>
  <c r="M23" i="9"/>
  <c r="N23" i="9" s="1"/>
  <c r="P23" i="9" s="1"/>
  <c r="L23" i="14"/>
  <c r="O23" i="14" s="1"/>
  <c r="K18" i="8"/>
  <c r="M22" i="9"/>
  <c r="N22" i="9" s="1"/>
  <c r="P22" i="9" s="1"/>
  <c r="R22" i="9" s="1"/>
  <c r="M22" i="8"/>
  <c r="N22" i="8" s="1"/>
  <c r="P22" i="8" s="1"/>
  <c r="S22" i="8" s="1"/>
  <c r="M10" i="14"/>
  <c r="N10" i="14" s="1"/>
  <c r="P10" i="14" s="1"/>
  <c r="K22" i="9"/>
  <c r="K23" i="9"/>
  <c r="L14" i="9"/>
  <c r="O14" i="9" s="1"/>
  <c r="K15" i="8"/>
  <c r="K12" i="9"/>
  <c r="L20" i="9"/>
  <c r="O20" i="9" s="1"/>
  <c r="M14" i="9"/>
  <c r="N14" i="9" s="1"/>
  <c r="D7" i="1"/>
  <c r="K11" i="9"/>
  <c r="L15" i="9"/>
  <c r="O15" i="9" s="1"/>
  <c r="P15" i="9" s="1"/>
  <c r="R15" i="9" s="1"/>
  <c r="L19" i="9"/>
  <c r="O19" i="9" s="1"/>
  <c r="M23" i="8"/>
  <c r="N23" i="8" s="1"/>
  <c r="P23" i="8" s="1"/>
  <c r="S23" i="8" s="1"/>
  <c r="L14" i="14"/>
  <c r="O14" i="14" s="1"/>
  <c r="K14" i="14"/>
  <c r="M9" i="8"/>
  <c r="N9" i="8" s="1"/>
  <c r="P9" i="8" s="1"/>
  <c r="S9" i="8" s="1"/>
  <c r="K21" i="8"/>
  <c r="K9" i="8"/>
  <c r="M20" i="9"/>
  <c r="N20" i="9" s="1"/>
  <c r="L17" i="9"/>
  <c r="O17" i="9" s="1"/>
  <c r="M17" i="9"/>
  <c r="N17" i="9" s="1"/>
  <c r="L22" i="14"/>
  <c r="O22" i="14" s="1"/>
  <c r="M16" i="8"/>
  <c r="N16" i="8" s="1"/>
  <c r="D17" i="1"/>
  <c r="D16" i="1"/>
  <c r="D13" i="1"/>
  <c r="M19" i="9"/>
  <c r="N19" i="9" s="1"/>
  <c r="K23" i="8"/>
  <c r="D12" i="1"/>
  <c r="D8" i="1"/>
  <c r="H10" i="1"/>
  <c r="D9" i="1"/>
  <c r="D14" i="1"/>
  <c r="L19" i="8"/>
  <c r="O19" i="8" s="1"/>
  <c r="P19" i="8" s="1"/>
  <c r="S19" i="8" s="1"/>
  <c r="D5" i="1"/>
  <c r="D18" i="1"/>
  <c r="L9" i="1"/>
  <c r="D19" i="1"/>
  <c r="D11" i="1"/>
  <c r="M21" i="14"/>
  <c r="N21" i="14" s="1"/>
  <c r="D10" i="1"/>
  <c r="D4" i="1"/>
  <c r="M11" i="9"/>
  <c r="N11" i="9" s="1"/>
  <c r="P11" i="9" s="1"/>
  <c r="R11" i="9" s="1"/>
  <c r="D15" i="1"/>
  <c r="L20" i="8"/>
  <c r="O20" i="8" s="1"/>
  <c r="P20" i="8" s="1"/>
  <c r="S20" i="8" s="1"/>
  <c r="L17" i="14"/>
  <c r="O17" i="14" s="1"/>
  <c r="L13" i="14"/>
  <c r="O13" i="14" s="1"/>
  <c r="L16" i="9"/>
  <c r="O16" i="9" s="1"/>
  <c r="M16" i="9"/>
  <c r="N16" i="9" s="1"/>
  <c r="K19" i="8"/>
  <c r="M17" i="14"/>
  <c r="N17" i="14" s="1"/>
  <c r="M11" i="8"/>
  <c r="N11" i="8" s="1"/>
  <c r="M10" i="8"/>
  <c r="N10" i="8" s="1"/>
  <c r="H15" i="1"/>
  <c r="K24" i="14"/>
  <c r="K18" i="9"/>
  <c r="M18" i="8"/>
  <c r="N18" i="8" s="1"/>
  <c r="P18" i="8" s="1"/>
  <c r="L16" i="14"/>
  <c r="O16" i="14" s="1"/>
  <c r="H16" i="1"/>
  <c r="K10" i="9"/>
  <c r="L24" i="14"/>
  <c r="O24" i="14" s="1"/>
  <c r="P24" i="14" s="1"/>
  <c r="K16" i="14"/>
  <c r="L10" i="8"/>
  <c r="O10" i="8" s="1"/>
  <c r="H12" i="1"/>
  <c r="H14" i="1"/>
  <c r="H7" i="1"/>
  <c r="M13" i="8"/>
  <c r="N13" i="8" s="1"/>
  <c r="P13" i="8" s="1"/>
  <c r="S13" i="8" s="1"/>
  <c r="M13" i="9"/>
  <c r="N13" i="9" s="1"/>
  <c r="P13" i="9" s="1"/>
  <c r="K13" i="9"/>
  <c r="M21" i="9"/>
  <c r="N21" i="9" s="1"/>
  <c r="M19" i="14"/>
  <c r="N19" i="14" s="1"/>
  <c r="K11" i="14"/>
  <c r="M21" i="8"/>
  <c r="N21" i="8" s="1"/>
  <c r="P21" i="8" s="1"/>
  <c r="S21" i="8" s="1"/>
  <c r="L9" i="14"/>
  <c r="O9" i="14" s="1"/>
  <c r="P9" i="14" s="1"/>
  <c r="L19" i="14"/>
  <c r="O19" i="14" s="1"/>
  <c r="L21" i="9"/>
  <c r="O21" i="9" s="1"/>
  <c r="P10" i="9"/>
  <c r="R10" i="9" s="1"/>
  <c r="K9" i="9"/>
  <c r="K9" i="14"/>
  <c r="H63" i="17"/>
  <c r="G33" i="17"/>
  <c r="O9" i="9"/>
  <c r="H11" i="1"/>
  <c r="M23" i="14"/>
  <c r="N23" i="14" s="1"/>
  <c r="H19" i="1"/>
  <c r="H8" i="1"/>
  <c r="L14" i="1"/>
  <c r="M24" i="8"/>
  <c r="N24" i="8" s="1"/>
  <c r="P24" i="8" s="1"/>
  <c r="H4" i="1"/>
  <c r="H5" i="1"/>
  <c r="K24" i="8"/>
  <c r="H13" i="1"/>
  <c r="H18" i="1"/>
  <c r="L19" i="1"/>
  <c r="L17" i="1"/>
  <c r="L24" i="9"/>
  <c r="H9" i="1"/>
  <c r="L13" i="1"/>
  <c r="M24" i="9"/>
  <c r="N24" i="9" s="1"/>
  <c r="H17" i="1"/>
  <c r="L7" i="1"/>
  <c r="L15" i="1"/>
  <c r="L18" i="1"/>
  <c r="P22" i="14" l="1"/>
  <c r="S22" i="14" s="1"/>
  <c r="P19" i="14"/>
  <c r="S19" i="14" s="1"/>
  <c r="S10" i="14"/>
  <c r="P17" i="14"/>
  <c r="S17" i="14" s="1"/>
  <c r="P23" i="14"/>
  <c r="S23" i="14" s="1"/>
  <c r="P21" i="14"/>
  <c r="S21" i="14" s="1"/>
  <c r="P14" i="14"/>
  <c r="S14" i="14" s="1"/>
  <c r="P18" i="14"/>
  <c r="S18" i="14" s="1"/>
  <c r="P16" i="14"/>
  <c r="S16" i="14" s="1"/>
  <c r="S11" i="14"/>
  <c r="P13" i="14"/>
  <c r="S13" i="14" s="1"/>
  <c r="P20" i="14"/>
  <c r="S20" i="14" s="1"/>
  <c r="G20" i="1"/>
  <c r="P11" i="8"/>
  <c r="S11" i="8" s="1"/>
  <c r="P16" i="8"/>
  <c r="S16" i="8" s="1"/>
  <c r="P9" i="9"/>
  <c r="R9" i="9" s="1"/>
  <c r="H20" i="1"/>
  <c r="L20" i="1"/>
  <c r="D20" i="1"/>
  <c r="P12" i="8"/>
  <c r="S12" i="8" s="1"/>
  <c r="P19" i="9"/>
  <c r="R19" i="9" s="1"/>
  <c r="B18" i="22"/>
  <c r="B14" i="22"/>
  <c r="B6" i="22"/>
  <c r="B19" i="22"/>
  <c r="B10" i="22"/>
  <c r="B5" i="22"/>
  <c r="B11" i="22"/>
  <c r="B7" i="22"/>
  <c r="B8" i="22"/>
  <c r="B17" i="22"/>
  <c r="B16" i="22"/>
  <c r="B13" i="22"/>
  <c r="B15" i="22"/>
  <c r="B9" i="22"/>
  <c r="B4" i="22"/>
  <c r="B12" i="22"/>
  <c r="P17" i="9"/>
  <c r="R17" i="9" s="1"/>
  <c r="S12" i="14"/>
  <c r="P20" i="9"/>
  <c r="R20" i="9" s="1"/>
  <c r="P14" i="9"/>
  <c r="R14" i="9" s="1"/>
  <c r="Y22" i="9"/>
  <c r="Y23" i="9"/>
  <c r="Y11" i="9"/>
  <c r="P16" i="9"/>
  <c r="R16" i="9" s="1"/>
  <c r="Y19" i="9"/>
  <c r="Y15" i="9"/>
  <c r="P10" i="8"/>
  <c r="Y20" i="9"/>
  <c r="Y12" i="9"/>
  <c r="Y9" i="9"/>
  <c r="Y17" i="9"/>
  <c r="Y13" i="9"/>
  <c r="Y10" i="9"/>
  <c r="Y21" i="9"/>
  <c r="Y16" i="9"/>
  <c r="Y18" i="9"/>
  <c r="Y14" i="9"/>
  <c r="Y24" i="9"/>
  <c r="S18" i="8"/>
  <c r="P21" i="9"/>
  <c r="R21" i="9" s="1"/>
  <c r="S14" i="8"/>
  <c r="S24" i="14"/>
  <c r="R23" i="9"/>
  <c r="H78" i="17"/>
  <c r="G55" i="17"/>
  <c r="G70" i="17" s="1"/>
  <c r="I59" i="17" s="1"/>
  <c r="I74" i="17" s="1"/>
  <c r="I27" i="17" s="1"/>
  <c r="K67" i="17" s="1"/>
  <c r="M59" i="17" s="1"/>
  <c r="K33" i="17" s="1"/>
  <c r="M41" i="17" s="1"/>
  <c r="S9" i="14"/>
  <c r="O24" i="9"/>
  <c r="P24" i="9" s="1"/>
  <c r="S24" i="8"/>
  <c r="R13" i="9"/>
  <c r="J24" i="8" l="1"/>
  <c r="J17" i="8"/>
  <c r="J20" i="8"/>
  <c r="A4" i="22" a="1"/>
  <c r="A4" i="22" s="1"/>
  <c r="J20" i="22" s="1"/>
  <c r="M11" i="22"/>
  <c r="M5" i="22"/>
  <c r="M9" i="22"/>
  <c r="M4" i="22"/>
  <c r="M7" i="22"/>
  <c r="M6" i="22"/>
  <c r="M10" i="22"/>
  <c r="M8" i="22"/>
  <c r="J13" i="8"/>
  <c r="J13" i="14"/>
  <c r="J22" i="8"/>
  <c r="J15" i="8"/>
  <c r="J19" i="8"/>
  <c r="J23" i="8"/>
  <c r="J18" i="8"/>
  <c r="J9" i="8"/>
  <c r="J11" i="8"/>
  <c r="S10" i="8"/>
  <c r="V15" i="8" s="1"/>
  <c r="J16" i="8"/>
  <c r="J14" i="8"/>
  <c r="J21" i="8"/>
  <c r="J12" i="8"/>
  <c r="J10" i="8"/>
  <c r="J19" i="14"/>
  <c r="J22" i="14"/>
  <c r="J18" i="14"/>
  <c r="J10" i="14"/>
  <c r="J16" i="14"/>
  <c r="J21" i="14"/>
  <c r="J15" i="14"/>
  <c r="J11" i="14"/>
  <c r="J23" i="14"/>
  <c r="J24" i="14"/>
  <c r="J12" i="14"/>
  <c r="J9" i="14"/>
  <c r="J17" i="14"/>
  <c r="T14" i="14"/>
  <c r="T9" i="14"/>
  <c r="T16" i="14"/>
  <c r="J14" i="14"/>
  <c r="T10" i="14"/>
  <c r="J20" i="14"/>
  <c r="T12" i="14"/>
  <c r="T11" i="14"/>
  <c r="R24" i="9"/>
  <c r="S10" i="9" s="1"/>
  <c r="J24" i="9"/>
  <c r="J12" i="9"/>
  <c r="J19" i="9"/>
  <c r="J10" i="9"/>
  <c r="J21" i="9"/>
  <c r="J22" i="9"/>
  <c r="J13" i="9"/>
  <c r="J16" i="9"/>
  <c r="J20" i="9"/>
  <c r="J18" i="9"/>
  <c r="J23" i="9"/>
  <c r="J17" i="9"/>
  <c r="J9" i="9"/>
  <c r="J15" i="9"/>
  <c r="J11" i="9"/>
  <c r="J14" i="9"/>
  <c r="T13" i="14"/>
  <c r="T15" i="14"/>
  <c r="S17" i="9"/>
  <c r="M4" i="1" l="1"/>
  <c r="M6" i="1"/>
  <c r="M7" i="1"/>
  <c r="M9" i="1"/>
  <c r="M8" i="1"/>
  <c r="M5" i="1"/>
  <c r="V11" i="8"/>
  <c r="T12" i="8"/>
  <c r="V9" i="8"/>
  <c r="I7" i="1"/>
  <c r="I6" i="1"/>
  <c r="I5" i="1"/>
  <c r="I14" i="1"/>
  <c r="I4" i="1"/>
  <c r="I13" i="1"/>
  <c r="I19" i="1"/>
  <c r="I15" i="1"/>
  <c r="I8" i="1"/>
  <c r="I9" i="1"/>
  <c r="I11" i="1"/>
  <c r="I12" i="1"/>
  <c r="I17" i="1"/>
  <c r="I18" i="1"/>
  <c r="I10" i="1"/>
  <c r="I16" i="1"/>
  <c r="T14" i="8"/>
  <c r="T11" i="8"/>
  <c r="T13" i="8"/>
  <c r="T15" i="8"/>
  <c r="T9" i="8"/>
  <c r="V14" i="8"/>
  <c r="T16" i="8"/>
  <c r="V16" i="8"/>
  <c r="V13" i="8"/>
  <c r="T10" i="8"/>
  <c r="V10" i="8"/>
  <c r="V12" i="8"/>
  <c r="S11" i="9"/>
  <c r="S16" i="9"/>
  <c r="S15" i="9"/>
  <c r="S14" i="9"/>
  <c r="S12" i="9"/>
  <c r="S13" i="9"/>
  <c r="S9" i="9"/>
  <c r="M15" i="1"/>
  <c r="M17" i="1"/>
  <c r="M12" i="1"/>
  <c r="M13" i="1"/>
  <c r="M16" i="1"/>
  <c r="M14" i="1"/>
  <c r="M18" i="1"/>
  <c r="M19" i="1"/>
  <c r="I20" i="1" l="1"/>
  <c r="F14" i="1"/>
  <c r="F7" i="1"/>
  <c r="F4" i="1"/>
  <c r="F19" i="1"/>
  <c r="F17" i="1"/>
  <c r="F16" i="1"/>
  <c r="F10" i="1"/>
  <c r="F5" i="1"/>
  <c r="F15" i="1"/>
  <c r="F18" i="1"/>
  <c r="E16" i="1"/>
  <c r="E6" i="1"/>
  <c r="E10" i="1"/>
  <c r="E19" i="1"/>
  <c r="E17" i="1"/>
  <c r="E14" i="1"/>
  <c r="E18" i="1"/>
  <c r="E11" i="1"/>
  <c r="E5" i="1"/>
  <c r="F20" i="1" l="1"/>
  <c r="E20" i="1"/>
  <c r="O13" i="1"/>
  <c r="D16" i="22" s="1"/>
  <c r="O5" i="1"/>
  <c r="D11" i="22" s="1"/>
  <c r="O6" i="1"/>
  <c r="D17" i="22" s="1"/>
  <c r="O7" i="1"/>
  <c r="D15" i="22" s="1"/>
  <c r="O14" i="1"/>
  <c r="D13" i="22" s="1"/>
  <c r="O4" i="1"/>
  <c r="D19" i="22" s="1"/>
  <c r="O10" i="1"/>
  <c r="D12" i="22" s="1"/>
  <c r="O8" i="1"/>
  <c r="D18" i="22" s="1"/>
  <c r="O16" i="1"/>
  <c r="D6" i="22" s="1"/>
  <c r="O11" i="1"/>
  <c r="D10" i="22" s="1"/>
  <c r="O9" i="1"/>
  <c r="D14" i="22" s="1"/>
  <c r="O18" i="1"/>
  <c r="D9" i="22" s="1"/>
  <c r="O15" i="1"/>
  <c r="D5" i="22" s="1"/>
  <c r="O17" i="1"/>
  <c r="D7" i="22" s="1"/>
  <c r="O19" i="1"/>
  <c r="D4" i="22" s="1"/>
  <c r="O12" i="1"/>
  <c r="D8" i="22" s="1"/>
  <c r="B14" i="1" l="1"/>
  <c r="B5" i="1"/>
  <c r="B15" i="1"/>
  <c r="B9" i="1"/>
  <c r="B11" i="1"/>
  <c r="B12" i="1"/>
  <c r="B13" i="1"/>
  <c r="B6" i="1"/>
  <c r="B17" i="1"/>
  <c r="B4" i="1"/>
  <c r="B18" i="1"/>
  <c r="B8" i="1"/>
  <c r="B10" i="1"/>
  <c r="B16" i="1"/>
  <c r="B19" i="1"/>
  <c r="B7" i="1"/>
  <c r="O8" i="22"/>
  <c r="O10" i="22"/>
  <c r="O11" i="22"/>
  <c r="O7" i="22"/>
  <c r="O5" i="22"/>
  <c r="O9" i="22"/>
  <c r="O6" i="22"/>
  <c r="O4" i="2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<sst xmlns="http://schemas.openxmlformats.org/spreadsheetml/2006/main" count="759" uniqueCount="255">
  <si>
    <t>Cornhole</t>
  </si>
  <si>
    <t>Knockout</t>
  </si>
  <si>
    <t>Stump</t>
  </si>
  <si>
    <t>Trivia</t>
  </si>
  <si>
    <t xml:space="preserve">Pass the Trash </t>
  </si>
  <si>
    <t>TOTAL</t>
  </si>
  <si>
    <t xml:space="preserve"> </t>
  </si>
  <si>
    <t>Golf</t>
  </si>
  <si>
    <t>Final 4</t>
  </si>
  <si>
    <t>At the Heidi</t>
  </si>
  <si>
    <t>2016 Results</t>
  </si>
  <si>
    <t>1st Place</t>
  </si>
  <si>
    <t>2nd Place</t>
  </si>
  <si>
    <t>3rd Place</t>
  </si>
  <si>
    <t>4th Place</t>
  </si>
  <si>
    <t>5th Place</t>
  </si>
  <si>
    <t>6th Place</t>
  </si>
  <si>
    <t>7th Place</t>
  </si>
  <si>
    <t>8th Place</t>
  </si>
  <si>
    <t>9th Place</t>
  </si>
  <si>
    <t>10th Place</t>
  </si>
  <si>
    <t>11th Place</t>
  </si>
  <si>
    <t>12th Place</t>
  </si>
  <si>
    <t>13th Place</t>
  </si>
  <si>
    <t>14th Place</t>
  </si>
  <si>
    <t>Avery &amp; Kayla</t>
  </si>
  <si>
    <t>Ty &amp; Bree</t>
  </si>
  <si>
    <t>Sheldon &amp; Callie</t>
  </si>
  <si>
    <t>JG &amp; Paige</t>
  </si>
  <si>
    <t>Teddy &amp; Kailani</t>
  </si>
  <si>
    <t>Trevor &amp; Halley</t>
  </si>
  <si>
    <t>Austin &amp; Katelyn</t>
  </si>
  <si>
    <t>Matt &amp; Sarah</t>
  </si>
  <si>
    <t>Aaron &amp; Sherbert</t>
  </si>
  <si>
    <t>Bret &amp; Whitney</t>
  </si>
  <si>
    <t>Chris &amp; Shelby</t>
  </si>
  <si>
    <t>Thadd &amp; Shannon</t>
  </si>
  <si>
    <t>Jesse &amp; Rosie</t>
  </si>
  <si>
    <t>Seth &amp; Abby</t>
  </si>
  <si>
    <t>Complete Relay</t>
  </si>
  <si>
    <t>CORNHOLE</t>
  </si>
  <si>
    <t>Double elimination bracket.</t>
  </si>
  <si>
    <t>KNOCKOUT</t>
  </si>
  <si>
    <t>GOLF</t>
  </si>
  <si>
    <t>Split into guys/girls. 2 heats of each, top 4 advance to finals. Finals starting order depends on finish in the prelims. 4th place goes first, 1st goes last. Combined total of team determines overall event scoring.</t>
  </si>
  <si>
    <t>SPEED QUARTERS</t>
  </si>
  <si>
    <t>STUMP</t>
  </si>
  <si>
    <t>COMPLETE RELAY</t>
  </si>
  <si>
    <t>TRIVIA</t>
  </si>
  <si>
    <t>PASS THE TRASH</t>
  </si>
  <si>
    <t>KUBB</t>
  </si>
  <si>
    <t>Kubb</t>
  </si>
  <si>
    <t>Speed Quarters</t>
  </si>
  <si>
    <t>Sheldon &amp; Carly</t>
  </si>
  <si>
    <t>[42]</t>
  </si>
  <si>
    <t>Champion</t>
  </si>
  <si>
    <t>Loser's Bracket</t>
  </si>
  <si>
    <t>L8</t>
  </si>
  <si>
    <t>L21</t>
  </si>
  <si>
    <t>L3</t>
  </si>
  <si>
    <t>L2</t>
  </si>
  <si>
    <t>L1</t>
  </si>
  <si>
    <t>L9</t>
  </si>
  <si>
    <t>L5</t>
  </si>
  <si>
    <t>L6</t>
  </si>
  <si>
    <t>L4</t>
  </si>
  <si>
    <t>Loser to 3rd Place Game</t>
  </si>
  <si>
    <t>Return To Scoreboard</t>
  </si>
  <si>
    <t>Return to Scoreboard</t>
  </si>
  <si>
    <t>L19</t>
  </si>
  <si>
    <t>L20</t>
  </si>
  <si>
    <t>Team 4</t>
  </si>
  <si>
    <t>Team 5</t>
  </si>
  <si>
    <t>Team 2</t>
  </si>
  <si>
    <t>Team 3</t>
  </si>
  <si>
    <t>L23</t>
  </si>
  <si>
    <t>L22</t>
  </si>
  <si>
    <t>Winner's Bracket</t>
  </si>
  <si>
    <t>L10</t>
  </si>
  <si>
    <t>L25</t>
  </si>
  <si>
    <t>L24</t>
  </si>
  <si>
    <t xml:space="preserve">  </t>
  </si>
  <si>
    <t>Knockout Total</t>
  </si>
  <si>
    <t>PLACE</t>
  </si>
  <si>
    <t>Column1</t>
  </si>
  <si>
    <t>Column2</t>
  </si>
  <si>
    <t>Column3</t>
  </si>
  <si>
    <t>Column4</t>
  </si>
  <si>
    <t>Column5</t>
  </si>
  <si>
    <t>STUMP Total</t>
  </si>
  <si>
    <t>Girls Finals</t>
  </si>
  <si>
    <t>Guys Finals</t>
  </si>
  <si>
    <t>TEAM 1</t>
  </si>
  <si>
    <t>TEAM 2</t>
  </si>
  <si>
    <t>TEAM 3</t>
  </si>
  <si>
    <t>TEAM 4</t>
  </si>
  <si>
    <t>TEAM 5</t>
  </si>
  <si>
    <t>CHAMPION</t>
  </si>
  <si>
    <t>Runner-Up</t>
  </si>
  <si>
    <t>Girls Finishers</t>
  </si>
  <si>
    <t>Guys Finishers</t>
  </si>
  <si>
    <t xml:space="preserve">    </t>
  </si>
  <si>
    <t>Pts</t>
  </si>
  <si>
    <t>Donavin &amp; Sheri</t>
  </si>
  <si>
    <t>W27</t>
  </si>
  <si>
    <t>L28 if first loss</t>
  </si>
  <si>
    <t>To W27</t>
  </si>
  <si>
    <t>L11</t>
  </si>
  <si>
    <t>L27</t>
  </si>
  <si>
    <t>L26</t>
  </si>
  <si>
    <t>Alex &amp; Rachel</t>
  </si>
  <si>
    <t>Loser To 7th Place Game</t>
  </si>
  <si>
    <t>Loser To 5th Place Game</t>
  </si>
  <si>
    <t>Loser Finishes 4th Place</t>
  </si>
  <si>
    <t>Loser Finishes 3rd Place</t>
  </si>
  <si>
    <t>Guy</t>
  </si>
  <si>
    <t>Girl</t>
  </si>
  <si>
    <t>B-Dave &amp; Kylie</t>
  </si>
  <si>
    <t>Entry</t>
  </si>
  <si>
    <t>Order</t>
  </si>
  <si>
    <t>Blake &amp; Sherbert</t>
  </si>
  <si>
    <t>Heat 1</t>
  </si>
  <si>
    <t>Heat 2</t>
  </si>
  <si>
    <t>Heat 3</t>
  </si>
  <si>
    <t>Heat 4</t>
  </si>
  <si>
    <t>Consolation Finalists</t>
  </si>
  <si>
    <t>Championship Finalists</t>
  </si>
  <si>
    <t>FINAL RESULTS</t>
  </si>
  <si>
    <t>Split boys/girls. Royal Rumble style. 1 &amp; 2 start, after both swing, #3 comes in. Max of 9 at one time.Partner gets opposite number as the first player. One time bonus nail for an elimination. Everyone is guaranteed one swing. Final 8 score.</t>
  </si>
  <si>
    <t>Runner up</t>
  </si>
  <si>
    <t>Trevor &amp; Callie</t>
  </si>
  <si>
    <t>Jesse &amp; Sarah</t>
  </si>
  <si>
    <t>Dean &amp; Misty</t>
  </si>
  <si>
    <t>2017 Results</t>
  </si>
  <si>
    <t>Team 1</t>
  </si>
  <si>
    <t>Elimination. Draw for spots 1-16. Ask questions in order, 2 misses and team is out. If team 1 misses question, it moves to team 2</t>
  </si>
  <si>
    <t>Team Total</t>
  </si>
  <si>
    <t>Teams within 10 of lead. Separate tables for guys and girls.</t>
  </si>
  <si>
    <t>Ty &amp; Paige</t>
  </si>
  <si>
    <t>(Consolation Winner)</t>
  </si>
  <si>
    <t>Girls Results</t>
  </si>
  <si>
    <t>Guys Results</t>
  </si>
  <si>
    <t>Sipe &amp; Sipe</t>
  </si>
  <si>
    <t>Luke &amp; Whitney</t>
  </si>
  <si>
    <t>Trevor &amp; Micaela</t>
  </si>
  <si>
    <t>L7</t>
  </si>
  <si>
    <t>Frisbee</t>
  </si>
  <si>
    <t>Group 1</t>
  </si>
  <si>
    <t>Group 2</t>
  </si>
  <si>
    <t>Group 3</t>
  </si>
  <si>
    <t>Group 4</t>
  </si>
  <si>
    <t>Ben &amp; Katelyn</t>
  </si>
  <si>
    <t>5th Place Game (5)</t>
  </si>
  <si>
    <t>3rd Place Game (8)</t>
  </si>
  <si>
    <r>
      <t xml:space="preserve">Randomly pair teams into teams of 4 or 6 and play single elimination bracket. (4-8 teams). Only score the top 3 teams.       </t>
    </r>
    <r>
      <rPr>
        <b/>
        <sz val="11"/>
        <color theme="1"/>
        <rFont val="Calibri"/>
        <family val="2"/>
        <scheme val="minor"/>
      </rPr>
      <t>1st: 6, 2nd: 3, 3rd: 1</t>
    </r>
  </si>
  <si>
    <t>Seth &amp; Katie</t>
  </si>
  <si>
    <t>Blake &amp; Emma</t>
  </si>
  <si>
    <t>Ryan &amp; Halley</t>
  </si>
  <si>
    <t>Austin &amp; Ashtyn</t>
  </si>
  <si>
    <t>Within 10</t>
  </si>
  <si>
    <t>Derek &amp; Addie</t>
  </si>
  <si>
    <t>15th Place</t>
  </si>
  <si>
    <t>2018 Results</t>
  </si>
  <si>
    <t>Mitch &amp; Katelyn</t>
  </si>
  <si>
    <t>One person must complete all of the events (Cornhole, free throw, frisbee, balloon toss). When starter says go, first person makes a cornhole, second person makes free throw, first person throws frisbee, second person catches water balloon. Winner of each heat advances to championship heat, second place of each heat advances to consulation heat. Must switch order of partners for finals.</t>
  </si>
  <si>
    <t>Derek &amp; Haylee</t>
  </si>
  <si>
    <t>Double Elimination Bracket for 16 Teams</t>
  </si>
  <si>
    <t>Tournament Bracket Template by Vertex42.com</t>
  </si>
  <si>
    <t>Instructions</t>
  </si>
  <si>
    <t>W29</t>
  </si>
  <si>
    <t>L30 if first loss</t>
  </si>
  <si>
    <t>L16</t>
  </si>
  <si>
    <t>L15</t>
  </si>
  <si>
    <t>To W29</t>
  </si>
  <si>
    <t>L14</t>
  </si>
  <si>
    <t>L13</t>
  </si>
  <si>
    <t>L29</t>
  </si>
  <si>
    <t>L28</t>
  </si>
  <si>
    <t>Team 6</t>
  </si>
  <si>
    <t>TEAM 6</t>
  </si>
  <si>
    <t>Austin &amp; Shannon</t>
  </si>
  <si>
    <t>Trevor &amp; Kristina</t>
  </si>
  <si>
    <t>Thadd &amp; Jordan</t>
  </si>
  <si>
    <t>2019 Results</t>
  </si>
  <si>
    <t>T-5th Place</t>
  </si>
  <si>
    <t>Ty &amp; Liz</t>
  </si>
  <si>
    <t>Billy &amp; Jordan</t>
  </si>
  <si>
    <t>Thadd &amp; Ziegler</t>
  </si>
  <si>
    <t>Austin &amp; Kate</t>
  </si>
  <si>
    <t>Matt &amp; Micaela</t>
  </si>
  <si>
    <t>Trevor &amp; Maycock</t>
  </si>
  <si>
    <t>Blake &amp; Brittany</t>
  </si>
  <si>
    <t>Team</t>
  </si>
  <si>
    <t xml:space="preserve">Pool play, then 8 team bracket. One swing, closest to the pin. Best 2 out of 3. Guy vs. Guy, Girl vs. Girl. Flip coin to determine guy/girl for the third shot. Hit the pin automatic win. 1 person for tiebreakers and 4-team 5th place decision. </t>
  </si>
  <si>
    <t>4 games of group play, winners advance to single elimination bracket.</t>
  </si>
  <si>
    <r>
      <t xml:space="preserve">Top 4 overall teams. Double elimination.                   Last team standing wins. 
</t>
    </r>
    <r>
      <rPr>
        <b/>
        <sz val="11"/>
        <color theme="1"/>
        <rFont val="Calibri"/>
        <family val="2"/>
        <scheme val="minor"/>
      </rPr>
      <t>1st: 10, 2nd: 6, 3rd: 3, 4th: 1</t>
    </r>
  </si>
  <si>
    <t>Dodgeball Roulette</t>
  </si>
  <si>
    <t>Blake &amp; Kirsten</t>
  </si>
  <si>
    <t>Ty &amp; Angela</t>
  </si>
  <si>
    <t>Standings</t>
  </si>
  <si>
    <t>Shot 1</t>
  </si>
  <si>
    <t>Shot 2</t>
  </si>
  <si>
    <t>Shot 3</t>
  </si>
  <si>
    <t>Shot 4</t>
  </si>
  <si>
    <t>Overall</t>
  </si>
  <si>
    <t>Matt &amp; Paige</t>
  </si>
  <si>
    <t>Tiebreaker</t>
  </si>
  <si>
    <t>Calvin &amp; Carly</t>
  </si>
  <si>
    <t>Conner &amp; Kate</t>
  </si>
  <si>
    <t>James &amp; Micaela</t>
  </si>
  <si>
    <t>Blake &amp; Megan</t>
  </si>
  <si>
    <t>16th Place</t>
  </si>
  <si>
    <t>T-13th Place</t>
  </si>
  <si>
    <t>T-10th Place</t>
  </si>
  <si>
    <t>Archive</t>
  </si>
  <si>
    <t>Jim &amp; Liz</t>
  </si>
  <si>
    <t>Shot 2 + Shot 4</t>
  </si>
  <si>
    <t>Jon &amp; Kendra</t>
  </si>
  <si>
    <t>Tie for:</t>
  </si>
  <si>
    <t>Brady &amp; Paige</t>
  </si>
  <si>
    <t>Rhett &amp; Haylee</t>
  </si>
  <si>
    <t>Peyton &amp; Hannah</t>
  </si>
  <si>
    <t>B-Dave &amp; Halley</t>
  </si>
  <si>
    <t>Shannon</t>
  </si>
  <si>
    <t>Kayla</t>
  </si>
  <si>
    <t>Angela</t>
  </si>
  <si>
    <t>Jordan</t>
  </si>
  <si>
    <t>Halley</t>
  </si>
  <si>
    <t>Kristina</t>
  </si>
  <si>
    <t xml:space="preserve">B-Dave </t>
  </si>
  <si>
    <t xml:space="preserve">Austin </t>
  </si>
  <si>
    <t xml:space="preserve">Ty </t>
  </si>
  <si>
    <t xml:space="preserve">Brady </t>
  </si>
  <si>
    <t xml:space="preserve">Dean </t>
  </si>
  <si>
    <t xml:space="preserve">Trevor </t>
  </si>
  <si>
    <t xml:space="preserve">Rhett </t>
  </si>
  <si>
    <t>Misty</t>
  </si>
  <si>
    <t>Shelby</t>
  </si>
  <si>
    <t>Haylee</t>
  </si>
  <si>
    <t xml:space="preserve">Thadd </t>
  </si>
  <si>
    <t xml:space="preserve">Blake </t>
  </si>
  <si>
    <t xml:space="preserve">Mitch </t>
  </si>
  <si>
    <t>Derek &amp; Whitney</t>
  </si>
  <si>
    <t>Tevor &amp; Kristina</t>
  </si>
  <si>
    <t>chris &amp; shelby</t>
  </si>
  <si>
    <t>Ty &amp; Anglea</t>
  </si>
  <si>
    <t>Katelyn</t>
  </si>
  <si>
    <t>Kendra</t>
  </si>
  <si>
    <t xml:space="preserve">Avery </t>
  </si>
  <si>
    <t xml:space="preserve">Derek </t>
  </si>
  <si>
    <t xml:space="preserve">Chris </t>
  </si>
  <si>
    <t xml:space="preserve">Jim </t>
  </si>
  <si>
    <t>Paige</t>
  </si>
  <si>
    <t>Whitney</t>
  </si>
  <si>
    <t>Ty &amp; Austin tie for 7th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</si>
</sst>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4"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1"/>
      <name val="Calibri"/>
      <family val="2"/>
      <scheme val="minor"/>
    </font>
    <font>
      <sz val="18"/>
      <color indexed="8"/>
      <name val="Arial"/>
      <family val="2"/>
    </font>
    <font>
      <sz val="11"/>
      <color indexed="8"/>
      <name val="Arial"/>
      <family val="2"/>
    </font>
    <font>
      <sz val="6"/>
      <color indexed="55"/>
      <name val="Arial"/>
      <family val="2"/>
    </font>
    <font>
      <u/>
      <sz val="10"/>
      <color indexed="12"/>
      <name val="Arial"/>
      <family val="2"/>
    </font>
    <font>
      <u/>
      <sz val="8"/>
      <color indexed="12"/>
      <name val="Arial"/>
      <family val="2"/>
    </font>
    <font>
      <sz val="10"/>
      <name val="Arial"/>
      <family val="2"/>
    </font>
    <font>
      <sz val="8"/>
      <name val="Tahoma"/>
      <family val="2"/>
    </font>
    <font>
      <sz val="24"/>
      <color indexed="8"/>
      <name val="Arial"/>
      <family val="2"/>
    </font>
    <font>
      <sz val="12"/>
      <color indexed="8"/>
      <name val="Arial"/>
      <family val="2"/>
    </font>
    <font>
      <sz val="11"/>
      <name val="Arial"/>
      <family val="2"/>
    </font>
    <font>
      <sz val="11"/>
      <color indexed="9"/>
      <name val="Arial"/>
      <family val="2"/>
    </font>
    <font>
      <b/>
      <i/>
      <sz val="11"/>
      <name val="Arial"/>
      <family val="2"/>
    </font>
    <font>
      <b/>
      <i/>
      <sz val="11"/>
      <color indexed="8"/>
      <name val="Arial"/>
      <family val="2"/>
    </font>
    <font>
      <sz val="2"/>
      <color indexed="9"/>
      <name val="Arial"/>
      <family val="2"/>
    </font>
    <font>
      <b/>
      <sz val="11"/>
      <color indexed="8"/>
      <name val="Arial"/>
      <family val="2"/>
    </font>
    <font>
      <b/>
      <u/>
      <sz val="16"/>
      <color indexed="12"/>
      <name val="Arial"/>
      <family val="2"/>
    </font>
    <font>
      <b/>
      <u/>
      <sz val="22"/>
      <color indexed="12"/>
      <name val="Arial"/>
      <family val="2"/>
    </font>
    <font>
      <b/>
      <sz val="14"/>
      <color indexed="8"/>
      <name val="Arial"/>
      <family val="2"/>
    </font>
    <font>
      <b/>
      <sz val="16"/>
      <color theme="1"/>
      <name val="Calibri"/>
      <family val="2"/>
      <scheme val="minor"/>
    </font>
    <font>
      <b/>
      <sz val="16"/>
      <color indexed="8"/>
      <name val="Arial"/>
      <family val="2"/>
    </font>
    <font>
      <sz val="20"/>
      <color indexed="8"/>
      <name val="Arial"/>
      <family val="2"/>
    </font>
    <font>
      <sz val="18"/>
      <color theme="1"/>
      <name val="Calibri"/>
      <family val="2"/>
      <scheme val="minor"/>
    </font>
    <font>
      <b/>
      <sz val="18"/>
      <name val="Arial"/>
      <family val="2"/>
    </font>
    <font>
      <b/>
      <sz val="18"/>
      <color theme="0"/>
      <name val="Calibri"/>
      <family val="2"/>
      <scheme val="minor"/>
    </font>
    <font>
      <sz val="18"/>
      <name val="Calibri"/>
      <family val="2"/>
      <scheme val="minor"/>
    </font>
    <font>
      <b/>
      <sz val="18"/>
      <name val="Calibri"/>
      <family val="2"/>
      <scheme val="minor"/>
    </font>
    <font>
      <b/>
      <sz val="14"/>
      <color theme="1"/>
      <name val="Calibri"/>
      <family val="2"/>
      <scheme val="minor"/>
    </font>
    <font>
      <sz val="6"/>
      <color rgb="FF000000"/>
      <name val="Verdana"/>
      <family val="2"/>
    </font>
    <font>
      <b/>
      <sz val="12"/>
      <color theme="1"/>
      <name val="Calibri"/>
      <family val="2"/>
      <scheme val="minor"/>
    </font>
    <font>
      <b/>
      <sz val="12"/>
      <color indexed="8"/>
      <name val="Arial"/>
      <family val="2"/>
    </font>
    <font>
      <b/>
      <sz val="11"/>
      <name val="Arial"/>
      <family val="2"/>
    </font>
    <font>
      <sz val="12"/>
      <color theme="1"/>
      <name val="Calibri"/>
      <family val="2"/>
      <scheme val="minor"/>
    </font>
    <font>
      <sz val="12"/>
      <color indexed="9"/>
      <name val="Arial"/>
      <family val="2"/>
    </font>
    <font>
      <b/>
      <i/>
      <sz val="12"/>
      <name val="Arial"/>
      <family val="2"/>
    </font>
    <font>
      <b/>
      <i/>
      <sz val="12"/>
      <color indexed="8"/>
      <name val="Arial"/>
      <family val="2"/>
    </font>
    <font>
      <b/>
      <sz val="12"/>
      <name val="Arial"/>
      <family val="2"/>
    </font>
    <font>
      <b/>
      <u/>
      <sz val="24"/>
      <color indexed="12"/>
      <name val="Arial"/>
      <family val="2"/>
    </font>
    <font>
      <sz val="16"/>
      <color theme="1"/>
      <name val="Calibri"/>
      <family val="2"/>
      <scheme val="minor"/>
    </font>
    <font>
      <sz val="20"/>
      <color theme="1"/>
      <name val="Calibri"/>
      <family val="2"/>
      <scheme val="minor"/>
    </font>
    <font>
      <sz val="14"/>
      <color theme="1"/>
      <name val="Calibri"/>
      <family val="2"/>
      <scheme val="minor"/>
    </font>
    <font>
      <b/>
      <sz val="8"/>
      <name val="Tahoma"/>
      <family val="2"/>
    </font>
    <font>
      <b/>
      <sz val="24"/>
      <color indexed="8"/>
      <name val="Arial"/>
      <family val="2"/>
    </font>
    <font>
      <b/>
      <sz val="18"/>
      <color theme="1"/>
      <name val="Calibri"/>
      <family val="2"/>
      <scheme val="minor"/>
    </font>
    <font>
      <b/>
      <sz val="10"/>
      <name val="Arial"/>
      <family val="2"/>
    </font>
    <font>
      <b/>
      <sz val="14"/>
      <name val="Arial"/>
      <family val="2"/>
    </font>
    <font>
      <b/>
      <sz val="10"/>
      <color theme="0"/>
      <name val="Arial"/>
      <family val="2"/>
    </font>
    <font>
      <sz val="10"/>
      <name val="Arial"/>
      <family val="2"/>
    </font>
    <font>
      <sz val="11"/>
      <color theme="0"/>
      <name val="Calibri"/>
      <family val="2"/>
      <scheme val="minor"/>
    </font>
    <font>
      <b/>
      <sz val="14"/>
      <color theme="0"/>
      <name val="Calibri"/>
      <family val="2"/>
      <scheme val="minor"/>
    </font>
    <font>
      <b/>
      <sz val="16"/>
      <name val="Arial"/>
      <family val="2"/>
    </font>
    <font>
      <sz val="11"/>
      <color theme="0"/>
      <name val="Arial"/>
      <family val="2"/>
    </font>
    <font>
      <sz val="8"/>
      <color theme="0"/>
      <name val="Arial"/>
      <family val="2"/>
    </font>
    <font>
      <b/>
      <u/>
      <sz val="18"/>
      <color indexed="12"/>
      <name val="Arial"/>
      <family val="2"/>
    </font>
    <font>
      <sz val="12"/>
      <color theme="0"/>
      <name val="Arial"/>
      <family val="2"/>
    </font>
    <font>
      <sz val="8"/>
      <name val="Calibri"/>
      <family val="2"/>
      <scheme val="minor"/>
    </font>
    <font>
      <b/>
      <sz val="9"/>
      <color theme="0"/>
      <name val="Arial"/>
      <family val="2"/>
    </font>
    <font>
      <sz val="12"/>
      <name val="Calibri"/>
      <family val="2"/>
      <scheme val="minor"/>
    </font>
    <font>
      <sz val="10"/>
      <color theme="1"/>
      <name val="Calibri"/>
      <family val="2"/>
      <scheme val="minor"/>
    </font>
    <font>
      <b/>
      <u/>
      <sz val="10"/>
      <color indexed="12"/>
      <name val="Arial"/>
      <family val="2"/>
    </font>
  </fonts>
  <fills count="22">
    <fill>
      <patternFill patternType="none"/>
    </fill>
    <fill>
      <patternFill patternType="gray125"/>
    </fill>
    <fill>
      <patternFill patternType="solid">
        <fgColor theme="9"/>
        <bgColor theme="9"/>
      </patternFill>
    </fill>
    <fill>
      <patternFill patternType="solid">
        <fgColor rgb="FFC00000"/>
        <bgColor theme="9"/>
      </patternFill>
    </fill>
    <fill>
      <patternFill patternType="solid">
        <fgColor theme="9"/>
        <bgColor indexed="64"/>
      </patternFill>
    </fill>
    <fill>
      <patternFill patternType="solid">
        <fgColor theme="0" tint="-0.14999847407452621"/>
        <bgColor indexed="64"/>
      </patternFill>
    </fill>
    <fill>
      <patternFill patternType="solid">
        <fgColor rgb="FFDB6413"/>
        <bgColor indexed="64"/>
      </patternFill>
    </fill>
    <fill>
      <patternFill patternType="solid">
        <fgColor theme="7"/>
        <bgColor indexed="64"/>
      </patternFill>
    </fill>
    <fill>
      <patternFill patternType="solid">
        <fgColor theme="0"/>
        <bgColor indexed="64"/>
      </patternFill>
    </fill>
    <fill>
      <patternFill patternType="solid">
        <fgColor rgb="FFFF66CC"/>
        <bgColor indexed="64"/>
      </patternFill>
    </fill>
    <fill>
      <patternFill patternType="solid">
        <fgColor theme="4"/>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1"/>
        <bgColor indexed="64"/>
      </patternFill>
    </fill>
    <fill>
      <patternFill patternType="solid">
        <fgColor rgb="FFE5CDFB"/>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Dashed">
        <color indexed="64"/>
      </right>
      <top style="medium">
        <color indexed="64"/>
      </top>
      <bottom/>
      <diagonal/>
    </border>
    <border>
      <left/>
      <right style="mediumDashed">
        <color indexed="64"/>
      </right>
      <top/>
      <bottom/>
      <diagonal/>
    </border>
    <border>
      <left/>
      <right/>
      <top/>
      <bottom style="medium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style="mediumDashed">
        <color indexed="64"/>
      </right>
      <top/>
      <bottom style="mediumDashed">
        <color indexed="64"/>
      </bottom>
      <diagonal/>
    </border>
    <border>
      <left/>
      <right style="mediumDashDot">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thick">
        <color indexed="64"/>
      </left>
      <right style="thick">
        <color indexed="64"/>
      </right>
      <top/>
      <bottom style="thin">
        <color indexed="64"/>
      </bottom>
      <diagonal/>
    </border>
    <border>
      <left style="thick">
        <color indexed="64"/>
      </left>
      <right/>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bottom style="thick">
        <color indexed="64"/>
      </bottom>
      <diagonal/>
    </border>
    <border>
      <left/>
      <right/>
      <top style="thick">
        <color indexed="64"/>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right style="thick">
        <color indexed="64"/>
      </right>
      <top style="medium">
        <color indexed="64"/>
      </top>
      <bottom/>
      <diagonal/>
    </border>
    <border>
      <left style="thick">
        <color indexed="64"/>
      </left>
      <right style="medium">
        <color indexed="64"/>
      </right>
      <top style="thin">
        <color indexed="64"/>
      </top>
      <bottom style="thin">
        <color indexed="64"/>
      </bottom>
      <diagonal/>
    </border>
    <border>
      <left/>
      <right style="thick">
        <color indexed="64"/>
      </right>
      <top style="thin">
        <color indexed="64"/>
      </top>
      <bottom/>
      <diagonal/>
    </border>
    <border>
      <left style="thick">
        <color indexed="64"/>
      </left>
      <right style="medium">
        <color indexed="64"/>
      </right>
      <top/>
      <bottom style="thick">
        <color indexed="64"/>
      </bottom>
      <diagonal/>
    </border>
    <border>
      <left/>
      <right style="thick">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theme="1"/>
      </bottom>
      <diagonal/>
    </border>
    <border>
      <left style="medium">
        <color indexed="64"/>
      </left>
      <right/>
      <top style="medium">
        <color indexed="64"/>
      </top>
      <bottom style="medium">
        <color theme="1"/>
      </bottom>
      <diagonal/>
    </border>
    <border>
      <left/>
      <right style="medium">
        <color indexed="64"/>
      </right>
      <top style="medium">
        <color indexed="64"/>
      </top>
      <bottom style="thin">
        <color indexed="64"/>
      </bottom>
      <diagonal/>
    </border>
    <border>
      <left style="medium">
        <color indexed="64"/>
      </left>
      <right/>
      <top style="medium">
        <color theme="1"/>
      </top>
      <bottom style="thin">
        <color indexed="64"/>
      </bottom>
      <diagonal/>
    </border>
    <border>
      <left/>
      <right style="medium">
        <color indexed="64"/>
      </right>
      <top style="medium">
        <color theme="1"/>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Dashed">
        <color indexed="64"/>
      </right>
      <top style="hair">
        <color indexed="64"/>
      </top>
      <bottom style="mediumDashed">
        <color indexed="64"/>
      </bottom>
      <diagonal/>
    </border>
    <border>
      <left/>
      <right style="thin">
        <color indexed="64"/>
      </right>
      <top style="thick">
        <color indexed="64"/>
      </top>
      <bottom style="thick">
        <color indexed="64"/>
      </bottom>
      <diagonal/>
    </border>
    <border>
      <left style="thin">
        <color rgb="FFB2B2B2"/>
      </left>
      <right style="thin">
        <color rgb="FFB2B2B2"/>
      </right>
      <top style="thin">
        <color rgb="FFB2B2B2"/>
      </top>
      <bottom style="thin">
        <color rgb="FFB2B2B2"/>
      </bottom>
      <diagonal/>
    </border>
    <border>
      <left/>
      <right style="thick">
        <color indexed="64"/>
      </right>
      <top/>
      <bottom style="thick">
        <color indexed="64"/>
      </bottom>
      <diagonal/>
    </border>
    <border>
      <left style="medium">
        <color indexed="64"/>
      </left>
      <right style="medium">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ck">
        <color indexed="64"/>
      </right>
      <top style="thick">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medium">
        <color indexed="64"/>
      </top>
      <bottom style="medium">
        <color indexed="64"/>
      </bottom>
      <diagonal/>
    </border>
    <border>
      <left/>
      <right/>
      <top style="medium">
        <color indexed="64"/>
      </top>
      <bottom style="thick">
        <color indexed="64"/>
      </bottom>
      <diagonal/>
    </border>
    <border>
      <left style="thick">
        <color indexed="64"/>
      </left>
      <right/>
      <top/>
      <bottom style="medium">
        <color indexed="64"/>
      </bottom>
      <diagonal/>
    </border>
    <border>
      <left/>
      <right/>
      <top style="thick">
        <color indexed="64"/>
      </top>
      <bottom style="thick">
        <color indexed="64"/>
      </bottom>
      <diagonal/>
    </border>
  </borders>
  <cellStyleXfs count="4">
    <xf numFmtId="0" fontId="0" fillId="0" borderId="0"/>
    <xf numFmtId="43" fontId="4" fillId="0" borderId="0" applyFont="0" applyFill="0" applyBorder="0" applyAlignment="0" applyProtection="0"/>
    <xf numFmtId="0" fontId="8" fillId="0" borderId="0" applyNumberFormat="0" applyFill="0" applyBorder="0" applyAlignment="0" applyProtection="0">
      <alignment vertical="top"/>
      <protection locked="0"/>
    </xf>
    <xf numFmtId="0" fontId="51" fillId="0" borderId="0"/>
  </cellStyleXfs>
  <cellXfs count="441">
    <xf numFmtId="0" fontId="0" fillId="0" borderId="0" xfId="0"/>
    <xf numFmtId="0" fontId="0" fillId="5" borderId="6" xfId="0" applyFill="1" applyBorder="1" applyAlignment="1">
      <alignment horizontal="center"/>
    </xf>
    <xf numFmtId="0" fontId="0" fillId="6" borderId="6" xfId="0" applyFill="1" applyBorder="1" applyAlignment="1">
      <alignment horizontal="center"/>
    </xf>
    <xf numFmtId="0" fontId="0" fillId="0" borderId="6" xfId="0" applyFill="1"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7" borderId="5" xfId="0" applyFill="1" applyBorder="1" applyAlignment="1">
      <alignment horizontal="center"/>
    </xf>
    <xf numFmtId="0" fontId="0" fillId="0" borderId="0" xfId="0" applyAlignment="1"/>
    <xf numFmtId="0" fontId="0" fillId="0" borderId="0" xfId="0" applyBorder="1"/>
    <xf numFmtId="0" fontId="0" fillId="0" borderId="17" xfId="0" applyBorder="1"/>
    <xf numFmtId="0" fontId="0" fillId="0" borderId="18" xfId="0" applyBorder="1" applyAlignment="1">
      <alignment horizontal="center"/>
    </xf>
    <xf numFmtId="0" fontId="12" fillId="0" borderId="0" xfId="0" applyFont="1" applyFill="1" applyAlignment="1">
      <alignment horizontal="left"/>
    </xf>
    <xf numFmtId="0" fontId="12" fillId="0" borderId="0" xfId="0" applyFont="1" applyFill="1" applyAlignment="1"/>
    <xf numFmtId="0" fontId="12" fillId="0" borderId="0" xfId="0" applyFont="1" applyFill="1" applyAlignment="1">
      <alignment horizontal="center"/>
    </xf>
    <xf numFmtId="0" fontId="13" fillId="0" borderId="0" xfId="0" applyFont="1" applyFill="1" applyAlignment="1"/>
    <xf numFmtId="0" fontId="13" fillId="0" borderId="15" xfId="0" applyFont="1" applyFill="1" applyBorder="1" applyAlignment="1"/>
    <xf numFmtId="0" fontId="6" fillId="0" borderId="0" xfId="0" applyFont="1" applyFill="1"/>
    <xf numFmtId="0" fontId="6" fillId="0" borderId="0" xfId="0" applyFont="1" applyFill="1" applyAlignment="1">
      <alignment horizontal="center"/>
    </xf>
    <xf numFmtId="0" fontId="6" fillId="0" borderId="0" xfId="0" applyFont="1" applyFill="1" applyBorder="1"/>
    <xf numFmtId="0" fontId="15" fillId="0" borderId="12" xfId="0" applyFont="1" applyFill="1" applyBorder="1" applyAlignment="1">
      <alignment horizontal="center"/>
    </xf>
    <xf numFmtId="0" fontId="6" fillId="0" borderId="8" xfId="0" applyFont="1" applyFill="1" applyBorder="1" applyAlignment="1"/>
    <xf numFmtId="0" fontId="6" fillId="0" borderId="0" xfId="0" applyFont="1"/>
    <xf numFmtId="0" fontId="16" fillId="0" borderId="0" xfId="0" applyFont="1" applyFill="1" applyBorder="1" applyAlignment="1">
      <alignment horizontal="right"/>
    </xf>
    <xf numFmtId="0" fontId="6" fillId="0" borderId="0" xfId="0" applyFont="1" applyFill="1" applyBorder="1" applyAlignment="1"/>
    <xf numFmtId="0" fontId="15" fillId="0" borderId="8" xfId="0" applyFont="1" applyFill="1" applyBorder="1" applyAlignment="1">
      <alignment horizontal="center"/>
    </xf>
    <xf numFmtId="0" fontId="6" fillId="0" borderId="0" xfId="0" applyFont="1" applyAlignment="1">
      <alignment horizontal="center"/>
    </xf>
    <xf numFmtId="0" fontId="6" fillId="0" borderId="15" xfId="0" applyFont="1" applyFill="1" applyBorder="1" applyAlignment="1"/>
    <xf numFmtId="0" fontId="6" fillId="0" borderId="8" xfId="0" applyFont="1" applyFill="1" applyBorder="1" applyAlignment="1">
      <alignment horizontal="center"/>
    </xf>
    <xf numFmtId="0" fontId="18" fillId="0" borderId="0" xfId="0" applyFont="1" applyFill="1"/>
    <xf numFmtId="0" fontId="13" fillId="0" borderId="0" xfId="0" applyFont="1" applyFill="1" applyBorder="1" applyAlignment="1"/>
    <xf numFmtId="0" fontId="17" fillId="0" borderId="0" xfId="0" applyFont="1" applyFill="1" applyBorder="1" applyAlignment="1">
      <alignment horizontal="right"/>
    </xf>
    <xf numFmtId="0" fontId="6" fillId="0" borderId="14" xfId="0" applyFont="1" applyFill="1" applyBorder="1"/>
    <xf numFmtId="0" fontId="6" fillId="0" borderId="8" xfId="0" applyFont="1" applyBorder="1" applyAlignment="1">
      <alignment horizontal="center"/>
    </xf>
    <xf numFmtId="0" fontId="0" fillId="0" borderId="8" xfId="0" applyBorder="1"/>
    <xf numFmtId="0" fontId="6" fillId="0" borderId="0" xfId="0" applyFont="1" applyBorder="1"/>
    <xf numFmtId="0" fontId="6" fillId="0" borderId="23" xfId="0" applyFont="1" applyFill="1" applyBorder="1" applyAlignment="1">
      <alignment horizontal="center"/>
    </xf>
    <xf numFmtId="0" fontId="6" fillId="0" borderId="24" xfId="0" applyFont="1" applyFill="1" applyBorder="1" applyAlignment="1">
      <alignment horizontal="center"/>
    </xf>
    <xf numFmtId="0" fontId="6" fillId="0" borderId="24" xfId="0" applyFont="1" applyFill="1" applyBorder="1"/>
    <xf numFmtId="0" fontId="6" fillId="0" borderId="0" xfId="0" applyFont="1" applyAlignment="1">
      <alignment horizontal="right"/>
    </xf>
    <xf numFmtId="0" fontId="6" fillId="0" borderId="0" xfId="0" applyFont="1" applyFill="1" applyBorder="1" applyAlignment="1">
      <alignment horizontal="right"/>
    </xf>
    <xf numFmtId="0" fontId="6" fillId="0" borderId="12" xfId="0" applyFont="1" applyFill="1" applyBorder="1" applyAlignment="1">
      <alignment horizontal="center"/>
    </xf>
    <xf numFmtId="0" fontId="6" fillId="0" borderId="15" xfId="0" applyFont="1" applyFill="1" applyBorder="1" applyAlignment="1">
      <alignment horizontal="left"/>
    </xf>
    <xf numFmtId="0" fontId="6" fillId="0" borderId="0" xfId="0" applyFont="1" applyFill="1" applyBorder="1" applyAlignment="1">
      <alignment horizontal="left"/>
    </xf>
    <xf numFmtId="0" fontId="6" fillId="0" borderId="0" xfId="0" applyFont="1" applyBorder="1" applyAlignment="1">
      <alignment horizontal="center"/>
    </xf>
    <xf numFmtId="0" fontId="6" fillId="0" borderId="0" xfId="0" applyFont="1" applyFill="1" applyBorder="1" applyAlignment="1">
      <alignment horizontal="center"/>
    </xf>
    <xf numFmtId="0" fontId="0" fillId="0" borderId="0" xfId="0" applyFill="1" applyBorder="1"/>
    <xf numFmtId="0" fontId="15" fillId="0" borderId="0" xfId="0" applyFont="1" applyFill="1" applyBorder="1" applyAlignment="1">
      <alignment horizontal="center"/>
    </xf>
    <xf numFmtId="0" fontId="0" fillId="0" borderId="12" xfId="0" applyFill="1" applyBorder="1"/>
    <xf numFmtId="0" fontId="19" fillId="0" borderId="0" xfId="0" applyFont="1" applyFill="1" applyBorder="1" applyAlignment="1">
      <alignment horizontal="center"/>
    </xf>
    <xf numFmtId="0" fontId="17" fillId="0" borderId="0" xfId="0" applyFont="1" applyFill="1"/>
    <xf numFmtId="0" fontId="6" fillId="8" borderId="15" xfId="0" applyFont="1" applyFill="1" applyBorder="1" applyAlignment="1"/>
    <xf numFmtId="0" fontId="6" fillId="8" borderId="16" xfId="0" applyFont="1" applyFill="1" applyBorder="1" applyAlignment="1"/>
    <xf numFmtId="0" fontId="6" fillId="8" borderId="15" xfId="0" applyFont="1" applyFill="1" applyBorder="1" applyAlignment="1">
      <alignment horizontal="center"/>
    </xf>
    <xf numFmtId="0" fontId="6" fillId="0" borderId="15" xfId="0" applyFont="1" applyFill="1" applyBorder="1"/>
    <xf numFmtId="0" fontId="6" fillId="0" borderId="12" xfId="0" applyFont="1" applyFill="1" applyBorder="1"/>
    <xf numFmtId="0" fontId="6" fillId="0" borderId="16" xfId="0" applyFont="1" applyFill="1" applyBorder="1"/>
    <xf numFmtId="0" fontId="18" fillId="0" borderId="8" xfId="0" applyFont="1" applyFill="1" applyBorder="1"/>
    <xf numFmtId="0" fontId="6" fillId="0" borderId="8" xfId="0" applyFont="1" applyFill="1" applyBorder="1"/>
    <xf numFmtId="0" fontId="22" fillId="0" borderId="0" xfId="0" applyFont="1" applyFill="1" applyAlignment="1">
      <alignment horizontal="center"/>
    </xf>
    <xf numFmtId="0" fontId="0" fillId="8" borderId="0" xfId="0" applyFill="1"/>
    <xf numFmtId="0" fontId="6" fillId="8" borderId="0" xfId="0" applyFont="1" applyFill="1"/>
    <xf numFmtId="0" fontId="6" fillId="8" borderId="0" xfId="0" applyFont="1" applyFill="1" applyAlignment="1">
      <alignment horizontal="center"/>
    </xf>
    <xf numFmtId="0" fontId="6" fillId="8" borderId="0" xfId="0" applyFont="1" applyFill="1" applyBorder="1" applyAlignment="1"/>
    <xf numFmtId="0" fontId="17" fillId="8" borderId="0" xfId="0" applyFont="1" applyFill="1"/>
    <xf numFmtId="0" fontId="6" fillId="0" borderId="16" xfId="0" applyFont="1" applyFill="1" applyBorder="1" applyAlignment="1"/>
    <xf numFmtId="0" fontId="0" fillId="0" borderId="15" xfId="0" applyBorder="1"/>
    <xf numFmtId="0" fontId="0" fillId="0" borderId="0" xfId="0" applyFill="1"/>
    <xf numFmtId="0" fontId="14" fillId="0" borderId="0" xfId="0" applyFont="1" applyFill="1" applyAlignment="1">
      <alignment horizontal="right"/>
    </xf>
    <xf numFmtId="0" fontId="5" fillId="8" borderId="0" xfId="0" applyFont="1" applyFill="1" applyAlignment="1">
      <alignment vertical="center"/>
    </xf>
    <xf numFmtId="0" fontId="6" fillId="8" borderId="0" xfId="0" applyFont="1" applyFill="1" applyAlignment="1">
      <alignment vertical="center"/>
    </xf>
    <xf numFmtId="0" fontId="6" fillId="8" borderId="0" xfId="0" applyFont="1" applyFill="1" applyAlignment="1">
      <alignment horizontal="center" vertical="center"/>
    </xf>
    <xf numFmtId="0" fontId="7" fillId="8" borderId="0" xfId="0" applyFont="1" applyFill="1" applyAlignment="1">
      <alignment horizontal="left"/>
    </xf>
    <xf numFmtId="0" fontId="8" fillId="8" borderId="0" xfId="2" applyFill="1" applyAlignment="1" applyProtection="1">
      <alignment horizontal="center"/>
    </xf>
    <xf numFmtId="0" fontId="6" fillId="0" borderId="0" xfId="0" applyFont="1" applyBorder="1" applyAlignment="1">
      <alignment horizontal="right"/>
    </xf>
    <xf numFmtId="0" fontId="13" fillId="0" borderId="8" xfId="0" applyFont="1" applyFill="1" applyBorder="1" applyAlignment="1"/>
    <xf numFmtId="0" fontId="0" fillId="0" borderId="0" xfId="0" applyAlignment="1">
      <alignment horizontal="right"/>
    </xf>
    <xf numFmtId="0" fontId="24" fillId="0" borderId="14" xfId="0" applyFont="1" applyFill="1" applyBorder="1" applyAlignment="1">
      <alignment horizontal="center"/>
    </xf>
    <xf numFmtId="0" fontId="0" fillId="0" borderId="1" xfId="0" applyNumberFormat="1" applyFont="1" applyFill="1" applyBorder="1" applyAlignment="1">
      <alignment horizontal="center"/>
    </xf>
    <xf numFmtId="0" fontId="6" fillId="0" borderId="0" xfId="0" applyFont="1" applyFill="1" applyAlignment="1">
      <alignment horizontal="center" vertical="center"/>
    </xf>
    <xf numFmtId="0" fontId="14" fillId="0" borderId="0" xfId="0" applyFont="1" applyFill="1"/>
    <xf numFmtId="0" fontId="23" fillId="0" borderId="15" xfId="0" applyFont="1" applyFill="1" applyBorder="1" applyAlignment="1">
      <alignment horizontal="center"/>
    </xf>
    <xf numFmtId="0" fontId="13" fillId="0" borderId="12" xfId="0" applyFont="1" applyFill="1" applyBorder="1"/>
    <xf numFmtId="0" fontId="0" fillId="0" borderId="8" xfId="0" applyFill="1" applyBorder="1"/>
    <xf numFmtId="0" fontId="6" fillId="0" borderId="0" xfId="0" applyFont="1" applyFill="1" applyAlignment="1">
      <alignment horizontal="right"/>
    </xf>
    <xf numFmtId="0" fontId="6" fillId="0" borderId="25" xfId="0" applyFont="1" applyFill="1" applyBorder="1"/>
    <xf numFmtId="0" fontId="10" fillId="0" borderId="0" xfId="0" applyFont="1" applyFill="1" applyAlignment="1">
      <alignment horizontal="center"/>
    </xf>
    <xf numFmtId="0" fontId="0" fillId="0" borderId="11" xfId="0" applyFill="1" applyBorder="1"/>
    <xf numFmtId="0" fontId="13" fillId="0" borderId="8" xfId="0" applyFont="1" applyFill="1" applyBorder="1"/>
    <xf numFmtId="0" fontId="6" fillId="0" borderId="25" xfId="0" applyFont="1" applyFill="1" applyBorder="1" applyAlignment="1">
      <alignment horizontal="center"/>
    </xf>
    <xf numFmtId="0" fontId="10" fillId="0" borderId="0" xfId="0" applyFont="1" applyFill="1"/>
    <xf numFmtId="0" fontId="0" fillId="0" borderId="27" xfId="0" applyNumberFormat="1" applyFont="1" applyFill="1" applyBorder="1" applyAlignment="1">
      <alignment horizontal="center"/>
    </xf>
    <xf numFmtId="0" fontId="25" fillId="0" borderId="15" xfId="0" applyFont="1" applyFill="1" applyBorder="1" applyAlignment="1"/>
    <xf numFmtId="0" fontId="5" fillId="0" borderId="15" xfId="0" applyFont="1" applyFill="1" applyBorder="1" applyAlignment="1"/>
    <xf numFmtId="0" fontId="5" fillId="0" borderId="14" xfId="0" applyFont="1" applyBorder="1"/>
    <xf numFmtId="0" fontId="5" fillId="0" borderId="14" xfId="0" applyFont="1" applyFill="1" applyBorder="1"/>
    <xf numFmtId="0" fontId="26" fillId="0" borderId="15" xfId="0" applyFont="1" applyFill="1" applyBorder="1"/>
    <xf numFmtId="0" fontId="26" fillId="0" borderId="16" xfId="0" applyFont="1" applyFill="1" applyBorder="1"/>
    <xf numFmtId="0" fontId="5" fillId="0" borderId="0" xfId="0" applyFont="1" applyFill="1" applyBorder="1" applyAlignment="1"/>
    <xf numFmtId="0" fontId="24" fillId="0" borderId="13" xfId="0" applyFont="1" applyFill="1" applyBorder="1" applyAlignment="1">
      <alignment horizontal="center"/>
    </xf>
    <xf numFmtId="0" fontId="27" fillId="0" borderId="0" xfId="0" applyFont="1" applyFill="1" applyBorder="1" applyAlignment="1">
      <alignment horizontal="center"/>
    </xf>
    <xf numFmtId="0" fontId="1" fillId="4" borderId="15" xfId="0" applyFont="1" applyFill="1" applyBorder="1" applyAlignment="1">
      <alignment horizontal="center"/>
    </xf>
    <xf numFmtId="0" fontId="3" fillId="0" borderId="0" xfId="0" applyFont="1" applyFill="1"/>
    <xf numFmtId="0" fontId="0" fillId="0" borderId="27" xfId="0" applyNumberFormat="1" applyFill="1" applyBorder="1" applyAlignment="1">
      <alignment horizontal="center"/>
    </xf>
    <xf numFmtId="0" fontId="26" fillId="0" borderId="0" xfId="0" applyFont="1"/>
    <xf numFmtId="0" fontId="28" fillId="4" borderId="15" xfId="0" applyFont="1" applyFill="1" applyBorder="1" applyAlignment="1">
      <alignment horizontal="left"/>
    </xf>
    <xf numFmtId="0" fontId="28" fillId="4" borderId="15" xfId="0" applyFont="1" applyFill="1" applyBorder="1" applyAlignment="1">
      <alignment horizontal="center"/>
    </xf>
    <xf numFmtId="0" fontId="28" fillId="4" borderId="16" xfId="0" applyFont="1" applyFill="1" applyBorder="1" applyAlignment="1">
      <alignment horizontal="center"/>
    </xf>
    <xf numFmtId="0" fontId="29" fillId="0" borderId="32" xfId="0" applyFont="1" applyFill="1" applyBorder="1"/>
    <xf numFmtId="0" fontId="29" fillId="0" borderId="11" xfId="0" applyFont="1" applyFill="1" applyBorder="1"/>
    <xf numFmtId="0" fontId="29" fillId="0" borderId="19" xfId="0" applyFont="1" applyFill="1" applyBorder="1"/>
    <xf numFmtId="0" fontId="29" fillId="0" borderId="0" xfId="0" applyFont="1" applyFill="1" applyBorder="1"/>
    <xf numFmtId="0" fontId="29" fillId="0" borderId="30" xfId="0" applyFont="1" applyFill="1" applyBorder="1" applyAlignment="1">
      <alignment horizontal="center"/>
    </xf>
    <xf numFmtId="0" fontId="29" fillId="0" borderId="20" xfId="0" applyFont="1" applyFill="1" applyBorder="1"/>
    <xf numFmtId="0" fontId="29" fillId="0" borderId="31" xfId="0" applyFont="1" applyFill="1" applyBorder="1" applyAlignment="1">
      <alignment horizontal="center"/>
    </xf>
    <xf numFmtId="0" fontId="0" fillId="13" borderId="29" xfId="0" applyFill="1" applyBorder="1"/>
    <xf numFmtId="0" fontId="0" fillId="14" borderId="29" xfId="0" applyFill="1" applyBorder="1"/>
    <xf numFmtId="0" fontId="0" fillId="15" borderId="29" xfId="0" applyFill="1" applyBorder="1"/>
    <xf numFmtId="0" fontId="0" fillId="11" borderId="29" xfId="0" applyFill="1" applyBorder="1"/>
    <xf numFmtId="0" fontId="0" fillId="12" borderId="29" xfId="0" applyFill="1" applyBorder="1"/>
    <xf numFmtId="0" fontId="0" fillId="0" borderId="0" xfId="0" applyAlignment="1">
      <alignment vertical="center"/>
    </xf>
    <xf numFmtId="0" fontId="0" fillId="0" borderId="0" xfId="0" applyAlignment="1">
      <alignment wrapText="1"/>
    </xf>
    <xf numFmtId="0" fontId="6" fillId="0" borderId="39" xfId="0" applyFont="1" applyFill="1" applyBorder="1" applyAlignment="1">
      <alignment horizontal="center"/>
    </xf>
    <xf numFmtId="0" fontId="30" fillId="16" borderId="29" xfId="0" applyFont="1" applyFill="1" applyBorder="1" applyAlignment="1">
      <alignment horizontal="center"/>
    </xf>
    <xf numFmtId="0" fontId="32" fillId="0" borderId="0" xfId="0" applyFont="1"/>
    <xf numFmtId="0" fontId="21" fillId="0" borderId="0" xfId="2" applyFont="1" applyFill="1" applyBorder="1" applyAlignment="1" applyProtection="1"/>
    <xf numFmtId="0" fontId="22" fillId="0" borderId="11" xfId="0" applyFont="1" applyFill="1" applyBorder="1" applyAlignment="1">
      <alignment horizontal="center"/>
    </xf>
    <xf numFmtId="0" fontId="34" fillId="0" borderId="0" xfId="0" applyFont="1" applyFill="1" applyAlignment="1">
      <alignment horizontal="center" vertical="center"/>
    </xf>
    <xf numFmtId="0" fontId="19" fillId="0" borderId="0" xfId="0" applyFont="1" applyFill="1"/>
    <xf numFmtId="0" fontId="35" fillId="0" borderId="0" xfId="0" applyFont="1" applyFill="1"/>
    <xf numFmtId="0" fontId="2" fillId="0" borderId="6" xfId="0" applyFont="1" applyFill="1" applyBorder="1" applyAlignment="1">
      <alignment horizontal="center"/>
    </xf>
    <xf numFmtId="0" fontId="2" fillId="0" borderId="28" xfId="0" applyFont="1" applyFill="1" applyBorder="1" applyAlignment="1">
      <alignment horizont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horizontal="left"/>
    </xf>
    <xf numFmtId="0" fontId="8" fillId="0" borderId="0" xfId="2" applyFill="1" applyAlignment="1" applyProtection="1">
      <alignment horizontal="center"/>
    </xf>
    <xf numFmtId="0" fontId="11" fillId="0" borderId="0" xfId="1" applyNumberFormat="1" applyFont="1" applyFill="1" applyAlignment="1">
      <alignment horizontal="right"/>
    </xf>
    <xf numFmtId="0" fontId="36" fillId="0" borderId="0" xfId="0" applyFont="1" applyFill="1"/>
    <xf numFmtId="0" fontId="13" fillId="0" borderId="0" xfId="0" applyFont="1" applyFill="1"/>
    <xf numFmtId="0" fontId="13" fillId="0" borderId="0" xfId="0" applyFont="1" applyFill="1" applyAlignment="1">
      <alignment horizontal="center"/>
    </xf>
    <xf numFmtId="0" fontId="13" fillId="0" borderId="0" xfId="0" applyFont="1" applyFill="1" applyBorder="1"/>
    <xf numFmtId="0" fontId="37" fillId="0" borderId="12" xfId="0" applyFont="1" applyFill="1" applyBorder="1" applyAlignment="1">
      <alignment horizontal="center"/>
    </xf>
    <xf numFmtId="0" fontId="38" fillId="0" borderId="0" xfId="0" applyFont="1" applyFill="1" applyBorder="1" applyAlignment="1">
      <alignment horizontal="right"/>
    </xf>
    <xf numFmtId="0" fontId="13" fillId="0" borderId="14" xfId="0" applyFont="1" applyFill="1" applyBorder="1" applyAlignment="1"/>
    <xf numFmtId="0" fontId="37" fillId="0" borderId="8" xfId="0" applyFont="1" applyFill="1" applyBorder="1" applyAlignment="1">
      <alignment horizontal="center"/>
    </xf>
    <xf numFmtId="0" fontId="39" fillId="0" borderId="0" xfId="0" applyFont="1" applyFill="1"/>
    <xf numFmtId="0" fontId="13" fillId="0" borderId="8" xfId="0" applyFont="1" applyFill="1" applyBorder="1" applyAlignment="1">
      <alignment horizontal="center"/>
    </xf>
    <xf numFmtId="0" fontId="33" fillId="0" borderId="15" xfId="0" applyFont="1" applyFill="1" applyBorder="1" applyAlignment="1">
      <alignment horizontal="center"/>
    </xf>
    <xf numFmtId="0" fontId="13" fillId="0" borderId="11" xfId="0" applyFont="1" applyFill="1" applyBorder="1" applyAlignment="1"/>
    <xf numFmtId="0" fontId="39" fillId="0" borderId="0" xfId="0" applyFont="1" applyFill="1" applyBorder="1" applyAlignment="1">
      <alignment horizontal="right"/>
    </xf>
    <xf numFmtId="0" fontId="13" fillId="0" borderId="14" xfId="0" applyFont="1" applyFill="1" applyBorder="1"/>
    <xf numFmtId="0" fontId="36" fillId="0" borderId="8" xfId="0" applyFont="1" applyFill="1" applyBorder="1"/>
    <xf numFmtId="0" fontId="13" fillId="0" borderId="15" xfId="0" applyFont="1" applyFill="1" applyBorder="1"/>
    <xf numFmtId="0" fontId="13" fillId="0" borderId="0" xfId="0" applyFont="1" applyFill="1" applyAlignment="1">
      <alignment horizontal="right"/>
    </xf>
    <xf numFmtId="0" fontId="13" fillId="0" borderId="16" xfId="0" applyFont="1" applyFill="1" applyBorder="1"/>
    <xf numFmtId="0" fontId="6" fillId="0" borderId="41" xfId="0" applyFont="1" applyFill="1" applyBorder="1" applyAlignment="1"/>
    <xf numFmtId="0" fontId="6" fillId="0" borderId="42" xfId="0" applyFont="1" applyFill="1" applyBorder="1"/>
    <xf numFmtId="0" fontId="0" fillId="0" borderId="42" xfId="0" applyFill="1" applyBorder="1"/>
    <xf numFmtId="0" fontId="40" fillId="0" borderId="0" xfId="0" applyFont="1" applyFill="1"/>
    <xf numFmtId="0" fontId="17" fillId="0" borderId="8" xfId="0" applyFont="1" applyFill="1" applyBorder="1" applyAlignment="1">
      <alignment horizontal="right"/>
    </xf>
    <xf numFmtId="0" fontId="43" fillId="0" borderId="1" xfId="0" applyFont="1" applyBorder="1" applyAlignment="1">
      <alignment horizontal="center"/>
    </xf>
    <xf numFmtId="0" fontId="21" fillId="0" borderId="0" xfId="2" applyFont="1" applyFill="1" applyBorder="1" applyAlignment="1" applyProtection="1">
      <alignment horizontal="center"/>
    </xf>
    <xf numFmtId="0" fontId="43" fillId="0" borderId="19" xfId="0" applyFont="1" applyBorder="1" applyAlignment="1">
      <alignment horizontal="center"/>
    </xf>
    <xf numFmtId="0" fontId="44" fillId="0" borderId="0" xfId="0" applyFont="1"/>
    <xf numFmtId="0" fontId="44" fillId="0" borderId="29" xfId="0" applyFont="1" applyBorder="1" applyAlignment="1">
      <alignment horizontal="center"/>
    </xf>
    <xf numFmtId="0" fontId="42" fillId="0" borderId="44" xfId="0" applyFont="1" applyBorder="1" applyAlignment="1">
      <alignment horizontal="center"/>
    </xf>
    <xf numFmtId="0" fontId="42" fillId="0" borderId="45" xfId="0" applyFont="1" applyBorder="1" applyAlignment="1">
      <alignment horizontal="right"/>
    </xf>
    <xf numFmtId="0" fontId="42" fillId="0" borderId="46" xfId="0" applyFont="1" applyBorder="1" applyAlignment="1">
      <alignment horizontal="left"/>
    </xf>
    <xf numFmtId="0" fontId="42" fillId="0" borderId="12" xfId="0" applyFont="1" applyBorder="1" applyAlignment="1">
      <alignment horizontal="center"/>
    </xf>
    <xf numFmtId="0" fontId="26" fillId="0" borderId="43" xfId="0" applyFont="1" applyBorder="1" applyAlignment="1">
      <alignment horizontal="center"/>
    </xf>
    <xf numFmtId="0" fontId="19" fillId="8" borderId="0" xfId="0" applyFont="1" applyFill="1" applyAlignment="1">
      <alignment horizontal="center" vertical="center"/>
    </xf>
    <xf numFmtId="0" fontId="19" fillId="8" borderId="0" xfId="0" applyFont="1" applyFill="1" applyAlignment="1">
      <alignment vertical="center"/>
    </xf>
    <xf numFmtId="0" fontId="19" fillId="8" borderId="0" xfId="0" applyFont="1" applyFill="1" applyAlignment="1">
      <alignment horizontal="center"/>
    </xf>
    <xf numFmtId="0" fontId="45" fillId="8" borderId="0" xfId="1" applyNumberFormat="1" applyFont="1" applyFill="1" applyAlignment="1">
      <alignment horizontal="right"/>
    </xf>
    <xf numFmtId="0" fontId="2" fillId="0" borderId="0" xfId="0" applyFont="1"/>
    <xf numFmtId="0" fontId="46" fillId="0" borderId="0" xfId="0" applyFont="1" applyFill="1" applyAlignment="1">
      <alignment horizontal="center"/>
    </xf>
    <xf numFmtId="0" fontId="19" fillId="0" borderId="0" xfId="0" applyFont="1" applyFill="1" applyAlignment="1">
      <alignment horizontal="center"/>
    </xf>
    <xf numFmtId="0" fontId="2" fillId="0" borderId="0" xfId="0" applyFont="1" applyFill="1" applyBorder="1"/>
    <xf numFmtId="0" fontId="19" fillId="0" borderId="15" xfId="0" applyFont="1" applyFill="1" applyBorder="1" applyAlignment="1">
      <alignment horizontal="center"/>
    </xf>
    <xf numFmtId="0" fontId="19" fillId="0" borderId="0" xfId="0" applyFont="1" applyFill="1" applyBorder="1"/>
    <xf numFmtId="0" fontId="47" fillId="0" borderId="14" xfId="0" applyFont="1" applyBorder="1"/>
    <xf numFmtId="0" fontId="48" fillId="0" borderId="0" xfId="0" applyFont="1" applyFill="1" applyBorder="1" applyAlignment="1">
      <alignment horizontal="center"/>
    </xf>
    <xf numFmtId="0" fontId="19" fillId="0" borderId="0" xfId="0" applyFont="1" applyFill="1" applyBorder="1" applyAlignment="1">
      <alignment horizontal="right"/>
    </xf>
    <xf numFmtId="0" fontId="19" fillId="0" borderId="0" xfId="0" applyFont="1"/>
    <xf numFmtId="0" fontId="19" fillId="0" borderId="0" xfId="0" applyFont="1" applyAlignment="1">
      <alignment horizontal="center"/>
    </xf>
    <xf numFmtId="0" fontId="49" fillId="0" borderId="0" xfId="0" applyFont="1" applyFill="1" applyBorder="1" applyAlignment="1">
      <alignment horizontal="center" vertical="center"/>
    </xf>
    <xf numFmtId="0" fontId="33" fillId="0" borderId="0" xfId="0" applyFont="1" applyFill="1" applyBorder="1" applyAlignment="1">
      <alignment horizontal="center"/>
    </xf>
    <xf numFmtId="0" fontId="3" fillId="19" borderId="37" xfId="0" applyFont="1" applyFill="1" applyBorder="1"/>
    <xf numFmtId="0" fontId="1" fillId="4" borderId="12" xfId="0" applyFont="1" applyFill="1" applyBorder="1" applyAlignment="1">
      <alignment horizontal="center"/>
    </xf>
    <xf numFmtId="0" fontId="0" fillId="0" borderId="27" xfId="0" applyNumberFormat="1" applyFont="1" applyBorder="1" applyAlignment="1">
      <alignment horizontal="center"/>
    </xf>
    <xf numFmtId="0" fontId="44" fillId="0" borderId="17" xfId="0" applyFont="1" applyBorder="1" applyAlignment="1">
      <alignment horizontal="center"/>
    </xf>
    <xf numFmtId="0" fontId="44" fillId="0" borderId="0" xfId="0" applyFont="1" applyBorder="1" applyAlignment="1">
      <alignment horizontal="center"/>
    </xf>
    <xf numFmtId="0" fontId="0" fillId="0" borderId="48" xfId="0" applyBorder="1" applyAlignment="1">
      <alignment horizontal="center"/>
    </xf>
    <xf numFmtId="0" fontId="6" fillId="0" borderId="13" xfId="0" applyFont="1" applyFill="1" applyBorder="1"/>
    <xf numFmtId="0" fontId="17" fillId="0" borderId="13" xfId="0" applyFont="1" applyFill="1" applyBorder="1" applyAlignment="1">
      <alignment horizontal="right"/>
    </xf>
    <xf numFmtId="0" fontId="2" fillId="0" borderId="50" xfId="0" applyFont="1" applyFill="1" applyBorder="1" applyAlignment="1">
      <alignment horizontal="center"/>
    </xf>
    <xf numFmtId="0" fontId="1" fillId="2" borderId="49" xfId="0" applyFont="1" applyFill="1" applyBorder="1" applyAlignment="1">
      <alignment horizontal="center" vertical="center"/>
    </xf>
    <xf numFmtId="0" fontId="50" fillId="2" borderId="52" xfId="2" applyFont="1" applyFill="1" applyBorder="1" applyAlignment="1" applyProtection="1">
      <alignment horizontal="center" vertical="center"/>
    </xf>
    <xf numFmtId="0" fontId="1" fillId="2" borderId="53" xfId="0" applyFont="1" applyFill="1" applyBorder="1" applyAlignment="1">
      <alignment horizontal="center" vertical="center" wrapText="1"/>
    </xf>
    <xf numFmtId="0" fontId="1" fillId="3" borderId="51" xfId="0" applyFont="1" applyFill="1" applyBorder="1" applyAlignment="1">
      <alignment horizontal="center" vertical="center"/>
    </xf>
    <xf numFmtId="0" fontId="30" fillId="16" borderId="55" xfId="0" applyFont="1" applyFill="1" applyBorder="1" applyAlignment="1">
      <alignment horizontal="center"/>
    </xf>
    <xf numFmtId="0" fontId="28" fillId="4" borderId="54" xfId="0" applyFont="1" applyFill="1" applyBorder="1" applyAlignment="1">
      <alignment horizontal="center"/>
    </xf>
    <xf numFmtId="0" fontId="28" fillId="4" borderId="4" xfId="0" applyFont="1" applyFill="1" applyBorder="1" applyAlignment="1">
      <alignment horizontal="center"/>
    </xf>
    <xf numFmtId="0" fontId="29" fillId="0" borderId="57" xfId="0" applyFont="1" applyFill="1" applyBorder="1" applyAlignment="1">
      <alignment horizontal="center"/>
    </xf>
    <xf numFmtId="0" fontId="29" fillId="0" borderId="59" xfId="0" applyFont="1" applyFill="1" applyBorder="1" applyAlignment="1">
      <alignment horizontal="center"/>
    </xf>
    <xf numFmtId="0" fontId="3" fillId="0" borderId="0" xfId="0" applyFont="1"/>
    <xf numFmtId="0" fontId="22" fillId="0" borderId="11" xfId="0" applyFont="1" applyFill="1" applyBorder="1" applyAlignment="1">
      <alignment horizontal="center"/>
    </xf>
    <xf numFmtId="0" fontId="0" fillId="0" borderId="38" xfId="0" applyNumberFormat="1" applyFont="1" applyFill="1" applyBorder="1" applyAlignment="1">
      <alignment horizontal="center"/>
    </xf>
    <xf numFmtId="0" fontId="19" fillId="0" borderId="8" xfId="0" applyFont="1" applyFill="1" applyBorder="1"/>
    <xf numFmtId="0" fontId="14" fillId="0" borderId="0" xfId="0" applyFont="1" applyFill="1" applyAlignment="1">
      <alignment horizontal="center"/>
    </xf>
    <xf numFmtId="0" fontId="16" fillId="0" borderId="0" xfId="0" applyFont="1" applyFill="1" applyBorder="1"/>
    <xf numFmtId="0" fontId="38" fillId="0" borderId="0" xfId="0" applyFont="1" applyFill="1" applyBorder="1"/>
    <xf numFmtId="0" fontId="6" fillId="0" borderId="8" xfId="0" applyFont="1" applyFill="1" applyBorder="1" applyAlignment="1">
      <alignment horizontal="right"/>
    </xf>
    <xf numFmtId="0" fontId="14" fillId="0" borderId="15" xfId="0" applyFont="1" applyFill="1" applyBorder="1" applyAlignment="1"/>
    <xf numFmtId="0" fontId="0" fillId="0" borderId="0" xfId="0" applyFont="1"/>
    <xf numFmtId="0" fontId="26" fillId="0" borderId="19" xfId="0" applyFont="1" applyBorder="1" applyAlignment="1">
      <alignment horizontal="center"/>
    </xf>
    <xf numFmtId="0" fontId="29" fillId="0" borderId="39" xfId="0" applyFont="1" applyFill="1" applyBorder="1"/>
    <xf numFmtId="0" fontId="29" fillId="0" borderId="61" xfId="0" applyFont="1" applyFill="1" applyBorder="1" applyAlignment="1">
      <alignment horizontal="center"/>
    </xf>
    <xf numFmtId="0" fontId="26" fillId="16" borderId="35" xfId="0" applyFont="1" applyFill="1" applyBorder="1" applyAlignment="1">
      <alignment horizontal="center"/>
    </xf>
    <xf numFmtId="0" fontId="26" fillId="16" borderId="36" xfId="0" applyFont="1" applyFill="1" applyBorder="1" applyAlignment="1">
      <alignment horizontal="center"/>
    </xf>
    <xf numFmtId="0" fontId="26" fillId="16" borderId="40" xfId="0" applyFont="1" applyFill="1" applyBorder="1" applyAlignment="1">
      <alignment horizontal="center"/>
    </xf>
    <xf numFmtId="0" fontId="26" fillId="16" borderId="34" xfId="0" applyFont="1" applyFill="1" applyBorder="1" applyAlignment="1">
      <alignment horizontal="center"/>
    </xf>
    <xf numFmtId="0" fontId="29" fillId="0" borderId="62" xfId="0" applyFont="1" applyFill="1" applyBorder="1"/>
    <xf numFmtId="0" fontId="44" fillId="0" borderId="7" xfId="0" applyFont="1" applyBorder="1" applyAlignment="1">
      <alignment horizontal="center"/>
    </xf>
    <xf numFmtId="0" fontId="0" fillId="0" borderId="7" xfId="0" applyBorder="1"/>
    <xf numFmtId="0" fontId="6" fillId="0" borderId="14" xfId="0" applyFont="1" applyFill="1" applyBorder="1" applyAlignment="1"/>
    <xf numFmtId="0" fontId="6" fillId="0" borderId="11" xfId="0" applyFont="1" applyFill="1" applyBorder="1" applyAlignment="1"/>
    <xf numFmtId="0" fontId="10" fillId="0" borderId="14" xfId="0" applyFont="1" applyFill="1" applyBorder="1" applyAlignment="1">
      <alignment horizontal="center"/>
    </xf>
    <xf numFmtId="0" fontId="6" fillId="0" borderId="15" xfId="0" applyFont="1" applyFill="1" applyBorder="1" applyAlignment="1">
      <alignment horizontal="center"/>
    </xf>
    <xf numFmtId="0" fontId="36" fillId="0" borderId="0" xfId="0" applyFont="1"/>
    <xf numFmtId="0" fontId="44" fillId="0" borderId="16" xfId="0" applyFont="1" applyBorder="1"/>
    <xf numFmtId="0" fontId="36" fillId="0" borderId="14" xfId="0" applyFont="1" applyBorder="1"/>
    <xf numFmtId="0" fontId="36" fillId="0" borderId="16" xfId="0" applyFont="1" applyBorder="1"/>
    <xf numFmtId="0" fontId="44" fillId="0" borderId="34" xfId="0" applyFont="1" applyBorder="1"/>
    <xf numFmtId="0" fontId="54" fillId="0" borderId="0" xfId="0" applyFont="1" applyFill="1" applyBorder="1" applyAlignment="1">
      <alignment horizontal="center"/>
    </xf>
    <xf numFmtId="0" fontId="36" fillId="0" borderId="9" xfId="0" applyFont="1" applyBorder="1"/>
    <xf numFmtId="0" fontId="52" fillId="0" borderId="0" xfId="0" applyFont="1"/>
    <xf numFmtId="0" fontId="55" fillId="0" borderId="0" xfId="0" applyFont="1" applyFill="1"/>
    <xf numFmtId="0" fontId="56" fillId="0" borderId="0" xfId="0" applyFont="1" applyFill="1" applyAlignment="1">
      <alignment horizontal="center"/>
    </xf>
    <xf numFmtId="0" fontId="52" fillId="0" borderId="0" xfId="0" applyFont="1" applyFill="1"/>
    <xf numFmtId="0" fontId="14" fillId="0" borderId="0" xfId="0" applyFont="1" applyFill="1" applyBorder="1"/>
    <xf numFmtId="0" fontId="44" fillId="0" borderId="35" xfId="0" applyFont="1" applyBorder="1"/>
    <xf numFmtId="0" fontId="44" fillId="0" borderId="65" xfId="0" applyFont="1" applyBorder="1"/>
    <xf numFmtId="0" fontId="44" fillId="0" borderId="36" xfId="0" applyFont="1" applyBorder="1"/>
    <xf numFmtId="0" fontId="44" fillId="0" borderId="30" xfId="0" applyFont="1" applyBorder="1"/>
    <xf numFmtId="0" fontId="36" fillId="19" borderId="66" xfId="0" applyFont="1" applyFill="1" applyBorder="1"/>
    <xf numFmtId="0" fontId="36" fillId="19" borderId="67" xfId="0" applyFont="1" applyFill="1" applyBorder="1"/>
    <xf numFmtId="0" fontId="36" fillId="0" borderId="68" xfId="0" applyFont="1" applyBorder="1"/>
    <xf numFmtId="0" fontId="36" fillId="0" borderId="30" xfId="0" applyFont="1" applyBorder="1"/>
    <xf numFmtId="0" fontId="36" fillId="19" borderId="68" xfId="0" applyFont="1" applyFill="1" applyBorder="1"/>
    <xf numFmtId="0" fontId="36" fillId="19" borderId="30" xfId="0" applyFont="1" applyFill="1" applyBorder="1"/>
    <xf numFmtId="0" fontId="50" fillId="2" borderId="52" xfId="2" applyFont="1" applyFill="1" applyBorder="1" applyAlignment="1" applyProtection="1">
      <alignment horizontal="center" vertical="center" wrapText="1"/>
    </xf>
    <xf numFmtId="0" fontId="0" fillId="0" borderId="1" xfId="0" applyFill="1" applyBorder="1"/>
    <xf numFmtId="0" fontId="28" fillId="4" borderId="69" xfId="0" applyFont="1" applyFill="1" applyBorder="1" applyAlignment="1">
      <alignment horizontal="left"/>
    </xf>
    <xf numFmtId="0" fontId="29" fillId="0" borderId="37" xfId="0" applyFont="1" applyFill="1" applyBorder="1"/>
    <xf numFmtId="0" fontId="29" fillId="0" borderId="70" xfId="0" applyFont="1" applyFill="1" applyBorder="1"/>
    <xf numFmtId="0" fontId="29" fillId="0" borderId="36" xfId="0" applyFont="1" applyFill="1" applyBorder="1"/>
    <xf numFmtId="0" fontId="52" fillId="0" borderId="29" xfId="0" applyFont="1" applyBorder="1"/>
    <xf numFmtId="0" fontId="0" fillId="0" borderId="29" xfId="0" applyBorder="1"/>
    <xf numFmtId="0" fontId="31" fillId="0" borderId="0" xfId="0" applyFont="1"/>
    <xf numFmtId="0" fontId="31" fillId="0" borderId="0" xfId="0" applyFont="1" applyBorder="1"/>
    <xf numFmtId="0" fontId="0" fillId="0" borderId="0" xfId="0" quotePrefix="1" applyFill="1"/>
    <xf numFmtId="0" fontId="0" fillId="0" borderId="0" xfId="0" quotePrefix="1"/>
    <xf numFmtId="0" fontId="22" fillId="0" borderId="11" xfId="0" applyFont="1" applyFill="1" applyBorder="1" applyAlignment="1">
      <alignment horizontal="center"/>
    </xf>
    <xf numFmtId="0" fontId="0" fillId="0" borderId="15" xfId="0" quotePrefix="1" applyFill="1" applyBorder="1"/>
    <xf numFmtId="0" fontId="24" fillId="0" borderId="15" xfId="0" applyFont="1" applyFill="1" applyBorder="1" applyAlignment="1">
      <alignment horizontal="center"/>
    </xf>
    <xf numFmtId="0" fontId="40" fillId="0" borderId="8" xfId="0" applyFont="1" applyFill="1" applyBorder="1"/>
    <xf numFmtId="0" fontId="0" fillId="0" borderId="15" xfId="0" applyFill="1" applyBorder="1"/>
    <xf numFmtId="0" fontId="39" fillId="0" borderId="15" xfId="0" applyFont="1" applyFill="1" applyBorder="1"/>
    <xf numFmtId="0" fontId="36" fillId="0" borderId="16" xfId="0" applyFont="1" applyFill="1" applyBorder="1"/>
    <xf numFmtId="0" fontId="6" fillId="0" borderId="72" xfId="0" applyFont="1" applyFill="1" applyBorder="1" applyAlignment="1">
      <alignment horizontal="center"/>
    </xf>
    <xf numFmtId="0" fontId="6" fillId="0" borderId="73" xfId="0" applyFont="1" applyFill="1" applyBorder="1" applyAlignment="1"/>
    <xf numFmtId="0" fontId="6" fillId="0" borderId="72" xfId="0" applyFont="1" applyFill="1" applyBorder="1" applyAlignment="1"/>
    <xf numFmtId="0" fontId="0" fillId="0" borderId="24" xfId="0" applyFill="1" applyBorder="1"/>
    <xf numFmtId="0" fontId="6" fillId="0" borderId="74" xfId="0" applyFont="1" applyFill="1" applyBorder="1" applyAlignment="1"/>
    <xf numFmtId="0" fontId="58" fillId="0" borderId="0" xfId="0" applyFont="1" applyFill="1" applyAlignment="1"/>
    <xf numFmtId="0" fontId="0" fillId="0" borderId="29" xfId="0" applyFill="1" applyBorder="1"/>
    <xf numFmtId="0" fontId="29" fillId="0" borderId="71" xfId="0" applyFont="1" applyFill="1" applyBorder="1"/>
    <xf numFmtId="0" fontId="43" fillId="16" borderId="56" xfId="0" applyFont="1" applyFill="1" applyBorder="1" applyAlignment="1">
      <alignment horizontal="center"/>
    </xf>
    <xf numFmtId="0" fontId="43" fillId="16" borderId="58" xfId="0" applyFont="1" applyFill="1" applyBorder="1" applyAlignment="1">
      <alignment horizontal="center"/>
    </xf>
    <xf numFmtId="0" fontId="43" fillId="16" borderId="60" xfId="0" applyFont="1" applyFill="1" applyBorder="1" applyAlignment="1">
      <alignment horizontal="center"/>
    </xf>
    <xf numFmtId="0" fontId="0" fillId="21" borderId="29" xfId="0" applyFill="1" applyBorder="1"/>
    <xf numFmtId="0" fontId="0" fillId="20" borderId="29" xfId="0" applyFill="1" applyBorder="1"/>
    <xf numFmtId="0" fontId="50" fillId="2" borderId="75" xfId="2" applyFont="1" applyFill="1" applyBorder="1" applyAlignment="1" applyProtection="1">
      <alignment horizontal="center" vertical="center"/>
    </xf>
    <xf numFmtId="0" fontId="36" fillId="0" borderId="26" xfId="0" applyFont="1" applyFill="1" applyBorder="1" applyAlignment="1">
      <alignment horizontal="center"/>
    </xf>
    <xf numFmtId="0" fontId="26" fillId="0" borderId="47" xfId="0" applyFont="1" applyBorder="1" applyAlignment="1">
      <alignment horizontal="center"/>
    </xf>
    <xf numFmtId="0" fontId="29" fillId="0" borderId="78" xfId="0" applyFont="1" applyFill="1" applyBorder="1"/>
    <xf numFmtId="0" fontId="29" fillId="0" borderId="79" xfId="0" applyFont="1" applyFill="1" applyBorder="1"/>
    <xf numFmtId="0" fontId="29" fillId="0" borderId="49" xfId="0" applyFont="1" applyFill="1" applyBorder="1"/>
    <xf numFmtId="0" fontId="29" fillId="0" borderId="77" xfId="0" applyFont="1" applyFill="1" applyBorder="1" applyAlignment="1">
      <alignment horizontal="center"/>
    </xf>
    <xf numFmtId="0" fontId="0" fillId="0" borderId="0" xfId="0" applyAlignment="1">
      <alignment horizontal="left"/>
    </xf>
    <xf numFmtId="0" fontId="36" fillId="0" borderId="1" xfId="0" applyFont="1" applyBorder="1" applyAlignment="1"/>
    <xf numFmtId="0" fontId="36" fillId="0" borderId="76" xfId="0" applyFont="1" applyBorder="1" applyAlignment="1"/>
    <xf numFmtId="0" fontId="0" fillId="0" borderId="81" xfId="0" applyNumberFormat="1" applyFont="1" applyFill="1" applyBorder="1" applyAlignment="1">
      <alignment horizontal="center"/>
    </xf>
    <xf numFmtId="0" fontId="0" fillId="0" borderId="80" xfId="0" applyNumberFormat="1" applyFont="1" applyFill="1" applyBorder="1" applyAlignment="1">
      <alignment horizontal="center"/>
    </xf>
    <xf numFmtId="0" fontId="36" fillId="0" borderId="1" xfId="0" applyFont="1" applyBorder="1" applyAlignment="1">
      <alignment vertical="center"/>
    </xf>
    <xf numFmtId="0" fontId="60" fillId="2" borderId="52" xfId="2" applyFont="1" applyFill="1" applyBorder="1" applyAlignment="1" applyProtection="1">
      <alignment horizontal="center" vertical="center" wrapText="1"/>
    </xf>
    <xf numFmtId="0" fontId="0" fillId="0" borderId="54" xfId="0" applyBorder="1"/>
    <xf numFmtId="0" fontId="36" fillId="0" borderId="83" xfId="0" applyFont="1" applyBorder="1" applyAlignment="1">
      <alignment horizontal="center"/>
    </xf>
    <xf numFmtId="0" fontId="36" fillId="19" borderId="83" xfId="0" applyFont="1" applyFill="1" applyBorder="1" applyAlignment="1">
      <alignment horizontal="center"/>
    </xf>
    <xf numFmtId="0" fontId="36" fillId="19" borderId="84" xfId="0" applyFont="1" applyFill="1" applyBorder="1" applyAlignment="1">
      <alignment horizontal="center"/>
    </xf>
    <xf numFmtId="0" fontId="36" fillId="0" borderId="86" xfId="0" applyFont="1" applyBorder="1" applyAlignment="1">
      <alignment horizontal="center"/>
    </xf>
    <xf numFmtId="0" fontId="36" fillId="19" borderId="86" xfId="0" applyFont="1" applyFill="1" applyBorder="1" applyAlignment="1">
      <alignment horizontal="center"/>
    </xf>
    <xf numFmtId="0" fontId="36" fillId="19" borderId="85" xfId="0" applyFont="1" applyFill="1" applyBorder="1" applyAlignment="1">
      <alignment horizontal="center"/>
    </xf>
    <xf numFmtId="0" fontId="36" fillId="0" borderId="54" xfId="0" applyFont="1" applyFill="1" applyBorder="1" applyAlignment="1">
      <alignment horizontal="center"/>
    </xf>
    <xf numFmtId="0" fontId="53" fillId="0" borderId="16" xfId="0" applyFont="1" applyFill="1" applyBorder="1" applyAlignment="1">
      <alignment horizontal="center"/>
    </xf>
    <xf numFmtId="0" fontId="53" fillId="0" borderId="34" xfId="0" applyFont="1" applyFill="1" applyBorder="1" applyAlignment="1">
      <alignment horizontal="center"/>
    </xf>
    <xf numFmtId="0" fontId="53" fillId="0" borderId="14" xfId="0" applyFont="1" applyFill="1" applyBorder="1" applyAlignment="1">
      <alignment horizontal="center"/>
    </xf>
    <xf numFmtId="0" fontId="36" fillId="0" borderId="7" xfId="0" applyFont="1" applyFill="1" applyBorder="1" applyAlignment="1"/>
    <xf numFmtId="0" fontId="36" fillId="0" borderId="29" xfId="0" applyFont="1" applyFill="1" applyBorder="1" applyAlignment="1">
      <alignment horizontal="center"/>
    </xf>
    <xf numFmtId="0" fontId="61" fillId="0" borderId="29" xfId="0" applyFont="1" applyFill="1" applyBorder="1" applyAlignment="1">
      <alignment horizontal="center"/>
    </xf>
    <xf numFmtId="0" fontId="36" fillId="0" borderId="9" xfId="0" applyFont="1" applyFill="1" applyBorder="1" applyAlignment="1">
      <alignment horizontal="center"/>
    </xf>
    <xf numFmtId="0" fontId="36" fillId="0" borderId="37" xfId="0" applyFont="1" applyFill="1" applyBorder="1" applyAlignment="1">
      <alignment horizontal="center"/>
    </xf>
    <xf numFmtId="0" fontId="61" fillId="0" borderId="37" xfId="0" applyFont="1" applyFill="1" applyBorder="1" applyAlignment="1">
      <alignment horizontal="center"/>
    </xf>
    <xf numFmtId="0" fontId="36" fillId="0" borderId="10" xfId="0" applyFont="1" applyFill="1" applyBorder="1" applyAlignment="1">
      <alignment horizontal="center"/>
    </xf>
    <xf numFmtId="0" fontId="0" fillId="0" borderId="48" xfId="0" applyFill="1" applyBorder="1" applyAlignment="1">
      <alignment horizontal="center"/>
    </xf>
    <xf numFmtId="0" fontId="62" fillId="0" borderId="6" xfId="0" applyFont="1" applyBorder="1" applyAlignment="1">
      <alignment horizontal="center"/>
    </xf>
    <xf numFmtId="0" fontId="63" fillId="0" borderId="0" xfId="2" applyFont="1" applyAlignment="1" applyProtection="1"/>
    <xf numFmtId="0" fontId="0" fillId="0" borderId="0" xfId="0" applyAlignment="1">
      <alignment horizontal="center"/>
    </xf>
    <xf numFmtId="0" fontId="36" fillId="0" borderId="17" xfId="0" applyFont="1" applyBorder="1" applyAlignment="1">
      <alignment horizontal="center"/>
    </xf>
    <xf numFmtId="0" fontId="36" fillId="19" borderId="17" xfId="0" applyFont="1" applyFill="1" applyBorder="1" applyAlignment="1">
      <alignment horizontal="center"/>
    </xf>
    <xf numFmtId="0" fontId="36" fillId="19" borderId="87" xfId="0" applyFont="1" applyFill="1" applyBorder="1" applyAlignment="1">
      <alignment horizontal="center"/>
    </xf>
    <xf numFmtId="0" fontId="36" fillId="0" borderId="88" xfId="0" applyFont="1" applyBorder="1" applyAlignment="1">
      <alignment horizontal="center"/>
    </xf>
    <xf numFmtId="0" fontId="36" fillId="0" borderId="15" xfId="0" applyFont="1" applyBorder="1" applyAlignment="1">
      <alignment horizontal="center"/>
    </xf>
    <xf numFmtId="0" fontId="36" fillId="0" borderId="82" xfId="0" applyFont="1" applyBorder="1" applyAlignment="1">
      <alignment horizontal="center"/>
    </xf>
    <xf numFmtId="0" fontId="36" fillId="0" borderId="1" xfId="0" applyFont="1" applyFill="1" applyBorder="1" applyAlignment="1"/>
    <xf numFmtId="0" fontId="2" fillId="0" borderId="0" xfId="0" applyFont="1" applyFill="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9" fillId="0" borderId="0" xfId="2" applyFont="1" applyFill="1" applyAlignment="1" applyProtection="1">
      <alignment horizontal="left"/>
    </xf>
    <xf numFmtId="0" fontId="31" fillId="0" borderId="15" xfId="0" applyFont="1" applyBorder="1" applyAlignment="1">
      <alignment horizontal="center"/>
    </xf>
    <xf numFmtId="0" fontId="22" fillId="0" borderId="11" xfId="0" applyFont="1" applyFill="1" applyBorder="1" applyAlignment="1">
      <alignment horizontal="center"/>
    </xf>
    <xf numFmtId="0" fontId="31" fillId="0" borderId="11" xfId="0" applyFont="1" applyBorder="1" applyAlignment="1">
      <alignment horizontal="center"/>
    </xf>
    <xf numFmtId="0" fontId="41" fillId="0" borderId="0" xfId="2" applyFont="1" applyFill="1" applyBorder="1" applyAlignment="1" applyProtection="1">
      <alignment horizontal="center"/>
    </xf>
    <xf numFmtId="0" fontId="26" fillId="0" borderId="9" xfId="0" applyFont="1" applyBorder="1" applyAlignment="1">
      <alignment horizontal="center"/>
    </xf>
    <xf numFmtId="0" fontId="26" fillId="0" borderId="7" xfId="0" applyFont="1" applyBorder="1" applyAlignment="1">
      <alignment horizontal="center"/>
    </xf>
    <xf numFmtId="0" fontId="26" fillId="0" borderId="10" xfId="0" applyFont="1" applyBorder="1" applyAlignment="1">
      <alignment horizontal="center"/>
    </xf>
    <xf numFmtId="0" fontId="26" fillId="0" borderId="12" xfId="0" applyFont="1" applyBorder="1" applyAlignment="1">
      <alignment horizontal="center"/>
    </xf>
    <xf numFmtId="0" fontId="21" fillId="0" borderId="0" xfId="2" applyFont="1" applyFill="1" applyBorder="1" applyAlignment="1" applyProtection="1">
      <alignment horizontal="center"/>
    </xf>
    <xf numFmtId="0" fontId="26" fillId="9" borderId="9" xfId="0" applyFont="1" applyFill="1" applyBorder="1" applyAlignment="1">
      <alignment horizontal="center"/>
    </xf>
    <xf numFmtId="0" fontId="26" fillId="9" borderId="7"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0" fillId="21" borderId="37" xfId="0" applyFill="1" applyBorder="1" applyAlignment="1">
      <alignment horizontal="center" vertical="center"/>
    </xf>
    <xf numFmtId="0" fontId="0" fillId="21" borderId="33" xfId="0" applyFill="1" applyBorder="1" applyAlignment="1">
      <alignment horizontal="center" vertical="center"/>
    </xf>
    <xf numFmtId="0" fontId="0" fillId="21" borderId="34" xfId="0" applyFill="1" applyBorder="1" applyAlignment="1">
      <alignment horizontal="center" vertical="center"/>
    </xf>
    <xf numFmtId="0" fontId="0" fillId="12" borderId="37" xfId="0" applyFill="1" applyBorder="1" applyAlignment="1">
      <alignment horizontal="center" vertical="center"/>
    </xf>
    <xf numFmtId="0" fontId="0" fillId="12" borderId="33" xfId="0" applyFill="1" applyBorder="1" applyAlignment="1">
      <alignment horizontal="center" vertical="center"/>
    </xf>
    <xf numFmtId="0" fontId="0" fillId="12" borderId="34" xfId="0" applyFill="1" applyBorder="1" applyAlignment="1">
      <alignment horizontal="center" vertical="center"/>
    </xf>
    <xf numFmtId="0" fontId="0" fillId="11" borderId="37" xfId="0" applyFill="1" applyBorder="1" applyAlignment="1">
      <alignment horizontal="center" vertical="center"/>
    </xf>
    <xf numFmtId="0" fontId="0" fillId="11" borderId="33" xfId="0" applyFill="1" applyBorder="1" applyAlignment="1">
      <alignment horizontal="center" vertical="center"/>
    </xf>
    <xf numFmtId="0" fontId="0" fillId="11" borderId="34" xfId="0" applyFill="1" applyBorder="1" applyAlignment="1">
      <alignment horizontal="center" vertical="center"/>
    </xf>
    <xf numFmtId="0" fontId="9" fillId="8" borderId="0" xfId="2" applyFont="1" applyFill="1" applyAlignment="1" applyProtection="1">
      <alignment horizontal="left"/>
    </xf>
    <xf numFmtId="0" fontId="57" fillId="0" borderId="0" xfId="2" applyFont="1" applyBorder="1" applyAlignment="1" applyProtection="1">
      <alignment horizontal="center"/>
    </xf>
    <xf numFmtId="0" fontId="0" fillId="13" borderId="37" xfId="0" applyFill="1" applyBorder="1" applyAlignment="1">
      <alignment horizontal="center" vertical="center"/>
    </xf>
    <xf numFmtId="0" fontId="0" fillId="13" borderId="33" xfId="0" applyFill="1" applyBorder="1" applyAlignment="1">
      <alignment horizontal="center" vertical="center"/>
    </xf>
    <xf numFmtId="0" fontId="0" fillId="13" borderId="34" xfId="0" applyFill="1" applyBorder="1" applyAlignment="1">
      <alignment horizontal="center" vertical="center"/>
    </xf>
    <xf numFmtId="0" fontId="0" fillId="14" borderId="37" xfId="0" applyFill="1" applyBorder="1" applyAlignment="1">
      <alignment horizontal="center" vertical="center"/>
    </xf>
    <xf numFmtId="0" fontId="0" fillId="14" borderId="33" xfId="0" applyFill="1" applyBorder="1" applyAlignment="1">
      <alignment horizontal="center" vertical="center"/>
    </xf>
    <xf numFmtId="0" fontId="0" fillId="14" borderId="34" xfId="0" applyFill="1" applyBorder="1" applyAlignment="1">
      <alignment horizontal="center" vertical="center"/>
    </xf>
    <xf numFmtId="0" fontId="0" fillId="15" borderId="37" xfId="0" applyFill="1" applyBorder="1" applyAlignment="1">
      <alignment horizontal="center" vertical="center"/>
    </xf>
    <xf numFmtId="0" fontId="0" fillId="15" borderId="33" xfId="0" applyFill="1" applyBorder="1" applyAlignment="1">
      <alignment horizontal="center" vertical="center"/>
    </xf>
    <xf numFmtId="0" fontId="0" fillId="15" borderId="34" xfId="0" applyFill="1" applyBorder="1" applyAlignment="1">
      <alignment horizontal="center" vertical="center"/>
    </xf>
    <xf numFmtId="0" fontId="53" fillId="2" borderId="21" xfId="0" applyFont="1" applyFill="1" applyBorder="1" applyAlignment="1">
      <alignment horizontal="center"/>
    </xf>
    <xf numFmtId="0" fontId="53" fillId="2" borderId="89" xfId="0" applyFont="1" applyFill="1" applyBorder="1" applyAlignment="1">
      <alignment horizontal="center"/>
    </xf>
    <xf numFmtId="0" fontId="53" fillId="2" borderId="22" xfId="0" applyFont="1" applyFill="1" applyBorder="1" applyAlignment="1">
      <alignment horizontal="center"/>
    </xf>
    <xf numFmtId="0" fontId="57" fillId="0" borderId="0" xfId="2" applyFont="1" applyFill="1" applyBorder="1" applyAlignment="1" applyProtection="1">
      <alignment horizontal="center"/>
    </xf>
    <xf numFmtId="0" fontId="0" fillId="0" borderId="15" xfId="0" applyBorder="1" applyAlignment="1">
      <alignment horizontal="center"/>
    </xf>
    <xf numFmtId="0" fontId="53" fillId="2" borderId="64" xfId="0" applyFont="1" applyFill="1" applyBorder="1" applyAlignment="1">
      <alignment horizontal="center" vertical="center"/>
    </xf>
    <xf numFmtId="0" fontId="53" fillId="2" borderId="63" xfId="0" applyFont="1" applyFill="1" applyBorder="1" applyAlignment="1">
      <alignment horizontal="center" vertical="center"/>
    </xf>
    <xf numFmtId="0" fontId="31" fillId="0" borderId="0" xfId="0" applyFont="1" applyBorder="1" applyAlignment="1">
      <alignment horizontal="center"/>
    </xf>
    <xf numFmtId="0" fontId="53" fillId="2" borderId="64" xfId="0" applyFont="1" applyFill="1" applyBorder="1" applyAlignment="1">
      <alignment horizontal="center"/>
    </xf>
    <xf numFmtId="0" fontId="53" fillId="2" borderId="63" xfId="0" applyFont="1" applyFill="1" applyBorder="1" applyAlignment="1">
      <alignment horizontal="center"/>
    </xf>
    <xf numFmtId="0" fontId="44" fillId="0" borderId="9" xfId="0" applyFont="1" applyBorder="1" applyAlignment="1">
      <alignment horizontal="center"/>
    </xf>
    <xf numFmtId="0" fontId="44" fillId="0" borderId="17" xfId="0" applyFont="1" applyBorder="1" applyAlignment="1">
      <alignment horizontal="center"/>
    </xf>
    <xf numFmtId="0" fontId="44" fillId="0" borderId="7" xfId="0" applyFont="1" applyBorder="1" applyAlignment="1">
      <alignment horizontal="center"/>
    </xf>
    <xf numFmtId="0" fontId="44" fillId="18" borderId="9" xfId="0" applyFont="1" applyFill="1" applyBorder="1" applyAlignment="1">
      <alignment horizontal="center"/>
    </xf>
    <xf numFmtId="0" fontId="44" fillId="18" borderId="17" xfId="0" applyFont="1" applyFill="1" applyBorder="1" applyAlignment="1">
      <alignment horizontal="center"/>
    </xf>
    <xf numFmtId="0" fontId="44" fillId="18" borderId="7" xfId="0" applyFont="1" applyFill="1" applyBorder="1" applyAlignment="1">
      <alignment horizontal="center"/>
    </xf>
    <xf numFmtId="0" fontId="31" fillId="0" borderId="9" xfId="0" applyFont="1" applyFill="1" applyBorder="1" applyAlignment="1">
      <alignment horizontal="center"/>
    </xf>
    <xf numFmtId="0" fontId="31" fillId="0" borderId="17" xfId="0" applyFont="1" applyFill="1" applyBorder="1" applyAlignment="1">
      <alignment horizontal="center"/>
    </xf>
    <xf numFmtId="0" fontId="31" fillId="0" borderId="7" xfId="0" applyFont="1" applyFill="1" applyBorder="1" applyAlignment="1">
      <alignment horizontal="center"/>
    </xf>
    <xf numFmtId="0" fontId="20" fillId="0" borderId="0" xfId="2" applyFont="1" applyFill="1" applyBorder="1" applyAlignment="1" applyProtection="1">
      <alignment horizontal="center"/>
    </xf>
    <xf numFmtId="0" fontId="31" fillId="17" borderId="9" xfId="0" applyFont="1" applyFill="1" applyBorder="1" applyAlignment="1">
      <alignment horizontal="center"/>
    </xf>
    <xf numFmtId="0" fontId="31" fillId="17" borderId="17" xfId="0" applyFont="1" applyFill="1" applyBorder="1" applyAlignment="1">
      <alignment horizontal="center"/>
    </xf>
    <xf numFmtId="0" fontId="31" fillId="17" borderId="7" xfId="0" applyFont="1" applyFill="1" applyBorder="1" applyAlignment="1">
      <alignment horizontal="center"/>
    </xf>
    <xf numFmtId="0" fontId="0" fillId="0" borderId="13" xfId="0" applyBorder="1" applyAlignment="1">
      <alignment horizontal="left"/>
    </xf>
    <xf numFmtId="0" fontId="0" fillId="0" borderId="0" xfId="0" applyAlignment="1">
      <alignment horizontal="left"/>
    </xf>
    <xf numFmtId="0" fontId="44" fillId="7" borderId="9" xfId="0" applyFont="1" applyFill="1" applyBorder="1" applyAlignment="1">
      <alignment horizontal="center"/>
    </xf>
    <xf numFmtId="0" fontId="44" fillId="7" borderId="17" xfId="0" applyFont="1" applyFill="1" applyBorder="1" applyAlignment="1">
      <alignment horizontal="center"/>
    </xf>
    <xf numFmtId="0" fontId="44" fillId="7" borderId="7" xfId="0" applyFont="1" applyFill="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8" borderId="10" xfId="0" applyFont="1" applyFill="1" applyBorder="1" applyAlignment="1">
      <alignment horizontal="center"/>
    </xf>
    <xf numFmtId="0" fontId="2" fillId="8" borderId="11" xfId="0" applyFont="1" applyFill="1" applyBorder="1" applyAlignment="1">
      <alignment horizontal="center"/>
    </xf>
    <xf numFmtId="0" fontId="2" fillId="8" borderId="12" xfId="0" applyFont="1" applyFill="1" applyBorder="1" applyAlignment="1">
      <alignment horizontal="center"/>
    </xf>
    <xf numFmtId="0" fontId="2" fillId="11" borderId="10" xfId="0" applyFont="1" applyFill="1" applyBorder="1" applyAlignment="1">
      <alignment horizontal="center"/>
    </xf>
    <xf numFmtId="0" fontId="2" fillId="11" borderId="11" xfId="0" applyFont="1" applyFill="1" applyBorder="1" applyAlignment="1">
      <alignment horizontal="center"/>
    </xf>
    <xf numFmtId="0" fontId="2" fillId="11" borderId="12" xfId="0" applyFont="1" applyFill="1" applyBorder="1" applyAlignment="1">
      <alignment horizontal="center"/>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11" borderId="14" xfId="0" applyFill="1" applyBorder="1" applyAlignment="1">
      <alignment horizontal="center" vertical="center" wrapText="1"/>
    </xf>
    <xf numFmtId="0" fontId="0" fillId="11" borderId="15" xfId="0" applyFill="1" applyBorder="1" applyAlignment="1">
      <alignment horizontal="center" vertical="center" wrapText="1"/>
    </xf>
    <xf numFmtId="0" fontId="0" fillId="11" borderId="16"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0" xfId="0" applyFill="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6" xfId="0" applyFill="1" applyBorder="1" applyAlignment="1">
      <alignment horizontal="center" vertical="center" wrapText="1"/>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Font="1" applyBorder="1" applyAlignment="1">
      <alignment horizontal="center" wrapText="1"/>
    </xf>
    <xf numFmtId="0" fontId="0" fillId="0" borderId="15" xfId="0" applyFont="1" applyBorder="1" applyAlignment="1">
      <alignment horizontal="center" wrapText="1"/>
    </xf>
    <xf numFmtId="0" fontId="0" fillId="0" borderId="16" xfId="0" applyFont="1" applyBorder="1" applyAlignment="1">
      <alignment horizontal="center" wrapText="1"/>
    </xf>
    <xf numFmtId="0" fontId="0" fillId="0" borderId="14" xfId="0" applyFill="1" applyBorder="1" applyAlignment="1">
      <alignment horizontal="center" wrapText="1"/>
    </xf>
    <xf numFmtId="0" fontId="0" fillId="0" borderId="15" xfId="0" applyFill="1" applyBorder="1" applyAlignment="1">
      <alignment horizontal="center" wrapText="1"/>
    </xf>
    <xf numFmtId="0" fontId="0" fillId="0" borderId="16" xfId="0" applyFill="1" applyBorder="1" applyAlignment="1">
      <alignment horizontal="center" wrapText="1"/>
    </xf>
    <xf numFmtId="0" fontId="0" fillId="0" borderId="14" xfId="0" applyFont="1" applyFill="1" applyBorder="1" applyAlignment="1">
      <alignment horizontal="center" wrapText="1"/>
    </xf>
    <xf numFmtId="0" fontId="0" fillId="0" borderId="15" xfId="0" applyFont="1" applyFill="1" applyBorder="1" applyAlignment="1">
      <alignment horizontal="center" wrapText="1"/>
    </xf>
    <xf numFmtId="0" fontId="0" fillId="0" borderId="16" xfId="0" applyFont="1" applyFill="1" applyBorder="1" applyAlignment="1">
      <alignment horizontal="center" wrapText="1"/>
    </xf>
    <xf numFmtId="0" fontId="0" fillId="11" borderId="14" xfId="0" applyFont="1" applyFill="1" applyBorder="1" applyAlignment="1">
      <alignment horizontal="center" vertical="center" wrapText="1"/>
    </xf>
    <xf numFmtId="0" fontId="0" fillId="11" borderId="15" xfId="0" applyFont="1" applyFill="1" applyBorder="1" applyAlignment="1">
      <alignment horizontal="center" vertical="center" wrapText="1"/>
    </xf>
    <xf numFmtId="0" fontId="0" fillId="11" borderId="16" xfId="0" applyFont="1" applyFill="1" applyBorder="1" applyAlignment="1">
      <alignment horizontal="center" vertical="center" wrapText="1"/>
    </xf>
    <xf numFmtId="0" fontId="0" fillId="11" borderId="14" xfId="0" applyFont="1" applyFill="1" applyBorder="1" applyAlignment="1">
      <alignment horizontal="center" wrapText="1"/>
    </xf>
    <xf numFmtId="0" fontId="0" fillId="11" borderId="15" xfId="0" applyFont="1" applyFill="1" applyBorder="1" applyAlignment="1">
      <alignment horizontal="center" wrapText="1"/>
    </xf>
    <xf numFmtId="0" fontId="0" fillId="11" borderId="16" xfId="0" applyFont="1" applyFill="1" applyBorder="1" applyAlignment="1">
      <alignment horizontal="center" wrapText="1"/>
    </xf>
    <xf numFmtId="0" fontId="0" fillId="11" borderId="14" xfId="0" applyFill="1" applyBorder="1" applyAlignment="1">
      <alignment horizontal="center" wrapText="1"/>
    </xf>
    <xf numFmtId="0" fontId="0" fillId="11" borderId="15" xfId="0" applyFill="1" applyBorder="1" applyAlignment="1">
      <alignment horizontal="center" wrapText="1"/>
    </xf>
    <xf numFmtId="0" fontId="0" fillId="11" borderId="16" xfId="0" applyFill="1" applyBorder="1" applyAlignment="1">
      <alignment horizontal="center" wrapText="1"/>
    </xf>
    <xf numFmtId="0" fontId="0" fillId="11" borderId="11" xfId="0" applyFill="1" applyBorder="1" applyAlignment="1">
      <alignment horizontal="center"/>
    </xf>
    <xf numFmtId="0" fontId="0" fillId="11" borderId="12" xfId="0"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cellXfs>
  <cellStyles count="4">
    <cellStyle name="Comma" xfId="1" builtinId="3"/>
    <cellStyle name="Hyperlink" xfId="2" builtinId="8"/>
    <cellStyle name="Normal" xfId="0" builtinId="0"/>
    <cellStyle name="Normal 2" xfId="3" xr:uid="{00000000-0005-0000-0000-000003000000}"/>
  </cellStyles>
  <dxfs count="113">
    <dxf>
      <font>
        <b val="0"/>
        <i val="0"/>
        <strike val="0"/>
        <condense val="0"/>
        <extend val="0"/>
        <outline val="0"/>
        <shadow val="0"/>
        <u val="none"/>
        <vertAlign val="baseline"/>
        <sz val="11"/>
        <color auto="1"/>
        <name val="Calibri"/>
        <family val="2"/>
        <scheme val="minor"/>
      </font>
      <fill>
        <patternFill patternType="none">
          <fgColor indexed="64"/>
          <bgColor auto="1"/>
        </patternFill>
      </fill>
      <border outline="0">
        <left style="medium">
          <color indexed="64"/>
        </left>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auto="1"/>
        <name val="Calibri"/>
        <family val="2"/>
        <scheme val="none"/>
      </font>
      <fill>
        <patternFill patternType="none">
          <fgColor rgb="FF000000"/>
          <bgColor auto="1"/>
        </patternFill>
      </fill>
    </dxf>
    <dxf>
      <border outline="0">
        <bottom style="medium">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bottom" textRotation="0" wrapText="0" indent="0" justifyLastLine="0" shrinkToFit="0" readingOrder="0"/>
    </dxf>
    <dxf>
      <font>
        <b/>
        <i val="0"/>
        <color rgb="FFFF0000"/>
      </font>
    </dxf>
    <dxf>
      <font>
        <b/>
        <i val="0"/>
        <color rgb="FFFF0000"/>
      </font>
    </dxf>
    <dxf>
      <fill>
        <patternFill>
          <bgColor theme="4" tint="-0.24994659260841701"/>
        </patternFill>
      </fill>
    </dxf>
    <dxf>
      <font>
        <b val="0"/>
        <i val="0"/>
        <color auto="1"/>
      </font>
      <fill>
        <patternFill>
          <bgColor theme="1"/>
        </patternFill>
      </fill>
    </dxf>
    <dxf>
      <font>
        <strike val="0"/>
        <outline val="0"/>
        <shadow val="0"/>
        <u val="none"/>
        <vertAlign val="baseline"/>
        <sz val="14"/>
        <color theme="1"/>
        <name val="Calibri"/>
        <family val="2"/>
        <scheme val="minor"/>
      </font>
      <border diagonalUp="0" diagonalDown="0">
        <left/>
        <right style="medium">
          <color indexed="64"/>
        </right>
        <top/>
        <bottom/>
        <vertical/>
        <horizontal/>
      </border>
    </dxf>
    <dxf>
      <font>
        <strike val="0"/>
        <outline val="0"/>
        <shadow val="0"/>
        <u val="none"/>
        <vertAlign val="baseline"/>
        <sz val="14"/>
        <color theme="1"/>
        <name val="Calibri"/>
        <family val="2"/>
        <scheme val="minor"/>
      </font>
      <border diagonalUp="0" diagonalDown="0">
        <left style="medium">
          <color indexed="64"/>
        </left>
        <right style="medium">
          <color indexed="64"/>
        </right>
        <vertical/>
      </border>
    </dxf>
    <dxf>
      <font>
        <strike val="0"/>
        <outline val="0"/>
        <shadow val="0"/>
        <u val="none"/>
        <vertAlign val="baseline"/>
        <sz val="14"/>
        <color theme="1"/>
        <name val="Calibri"/>
        <family val="2"/>
        <scheme val="minor"/>
      </font>
      <border diagonalUp="0" diagonalDown="0">
        <left style="medium">
          <color indexed="64"/>
        </left>
        <right style="medium">
          <color indexed="64"/>
        </right>
        <vertical/>
      </border>
    </dxf>
    <dxf>
      <font>
        <strike val="0"/>
        <outline val="0"/>
        <shadow val="0"/>
        <u val="none"/>
        <vertAlign val="baseline"/>
        <sz val="14"/>
        <color theme="1"/>
        <name val="Calibri"/>
        <family val="2"/>
        <scheme val="minor"/>
      </font>
      <border diagonalUp="0" diagonalDown="0">
        <left style="medium">
          <color indexed="64"/>
        </left>
        <right style="medium">
          <color indexed="64"/>
        </right>
        <top/>
        <bottom/>
        <vertical/>
        <horizontal/>
      </border>
    </dxf>
    <dxf>
      <font>
        <strike val="0"/>
        <outline val="0"/>
        <shadow val="0"/>
        <u val="none"/>
        <vertAlign val="baseline"/>
        <sz val="14"/>
        <color theme="1"/>
        <name val="Calibri"/>
        <family val="2"/>
        <scheme val="minor"/>
      </font>
    </dxf>
    <dxf>
      <border>
        <bottom style="medium">
          <color indexed="64"/>
        </bottom>
      </border>
    </dxf>
    <dxf>
      <font>
        <strike val="0"/>
        <outline val="0"/>
        <shadow val="0"/>
        <u val="none"/>
        <vertAlign val="baseline"/>
        <sz val="14"/>
        <color theme="1"/>
        <name val="Calibri"/>
        <family val="2"/>
        <scheme val="minor"/>
      </font>
      <alignment horizontal="center"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right style="medium">
          <color indexed="64"/>
        </right>
        <top style="medium">
          <color indexed="64"/>
        </top>
        <bottom style="medium">
          <color indexed="64"/>
        </bottom>
      </border>
    </dxf>
    <dxf>
      <border outline="0">
        <top style="medium">
          <color indexed="64"/>
        </top>
      </border>
    </dxf>
    <dxf>
      <border outline="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4"/>
        <color theme="0"/>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outline="0">
        <left style="medium">
          <color indexed="64"/>
        </left>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bottom" textRotation="0" wrapText="0" indent="0" justifyLastLine="0" shrinkToFit="0" readingOrder="0"/>
    </dxf>
    <dxf>
      <font>
        <b/>
        <i val="0"/>
        <color rgb="FFFF0000"/>
      </font>
    </dxf>
    <dxf>
      <font>
        <b/>
        <i val="0"/>
        <color rgb="FFFF0000"/>
      </font>
    </dxf>
    <dxf>
      <fill>
        <patternFill>
          <bgColor theme="4" tint="-0.24994659260841701"/>
        </patternFill>
      </fill>
    </dxf>
    <dxf>
      <font>
        <b val="0"/>
        <i val="0"/>
        <color auto="1"/>
      </font>
      <fill>
        <patternFill>
          <bgColor theme="1"/>
        </patternFill>
      </fill>
    </dxf>
    <dxf>
      <font>
        <b val="0"/>
        <i val="0"/>
        <strike val="0"/>
        <condense val="0"/>
        <extend val="0"/>
        <outline val="0"/>
        <shadow val="0"/>
        <u val="none"/>
        <vertAlign val="baseline"/>
        <sz val="18"/>
        <color auto="1"/>
        <name val="Calibri"/>
        <family val="2"/>
        <scheme val="minor"/>
      </font>
      <fill>
        <patternFill patternType="none">
          <bgColor auto="1"/>
        </patternFill>
      </fill>
      <alignment horizontal="center" vertical="bottom" textRotation="0" wrapText="0" indent="0" justifyLastLine="0" shrinkToFit="0" readingOrder="0"/>
      <border diagonalUp="0" diagonalDown="0">
        <left/>
        <right/>
        <top style="thin">
          <color indexed="64"/>
        </top>
        <bottom/>
      </border>
    </dxf>
    <dxf>
      <font>
        <b val="0"/>
        <i val="0"/>
        <strike val="0"/>
        <condense val="0"/>
        <extend val="0"/>
        <outline val="0"/>
        <shadow val="0"/>
        <u val="none"/>
        <vertAlign val="baseline"/>
        <sz val="18"/>
        <color auto="1"/>
        <name val="Calibri"/>
        <family val="2"/>
        <scheme val="minor"/>
      </font>
      <fill>
        <patternFill patternType="none">
          <bgColor auto="1"/>
        </patternFill>
      </fill>
    </dxf>
    <dxf>
      <font>
        <b val="0"/>
        <i val="0"/>
        <strike val="0"/>
        <condense val="0"/>
        <extend val="0"/>
        <outline val="0"/>
        <shadow val="0"/>
        <u val="none"/>
        <vertAlign val="baseline"/>
        <sz val="18"/>
        <color auto="1"/>
        <name val="Calibri"/>
        <family val="2"/>
        <scheme val="minor"/>
      </font>
      <fill>
        <patternFill patternType="none">
          <bgColor auto="1"/>
        </patternFill>
      </fill>
    </dxf>
    <dxf>
      <font>
        <b val="0"/>
        <i val="0"/>
        <strike val="0"/>
        <condense val="0"/>
        <extend val="0"/>
        <outline val="0"/>
        <shadow val="0"/>
        <u val="none"/>
        <vertAlign val="baseline"/>
        <sz val="18"/>
        <color auto="1"/>
        <name val="Calibri"/>
        <family val="2"/>
        <scheme val="minor"/>
      </font>
      <fill>
        <patternFill patternType="none">
          <bgColor auto="1"/>
        </patternFill>
      </fill>
    </dxf>
    <dxf>
      <font>
        <b val="0"/>
        <i val="0"/>
        <strike val="0"/>
        <condense val="0"/>
        <extend val="0"/>
        <outline val="0"/>
        <shadow val="0"/>
        <u val="none"/>
        <vertAlign val="baseline"/>
        <sz val="18"/>
        <color auto="1"/>
        <name val="Calibri"/>
        <family val="2"/>
        <scheme val="minor"/>
      </font>
      <fill>
        <patternFill patternType="none">
          <bgColor auto="1"/>
        </patternFill>
      </fill>
      <border diagonalUp="0" diagonalDown="0">
        <left style="thin">
          <color indexed="64"/>
        </left>
        <right/>
        <top/>
        <bottom/>
      </border>
    </dxf>
    <dxf>
      <font>
        <b val="0"/>
        <i val="0"/>
        <strike val="0"/>
        <condense val="0"/>
        <extend val="0"/>
        <outline val="0"/>
        <shadow val="0"/>
        <u val="none"/>
        <vertAlign val="baseline"/>
        <sz val="18"/>
        <color auto="1"/>
        <name val="Calibri"/>
        <family val="2"/>
        <scheme val="minor"/>
      </font>
      <fill>
        <patternFill patternType="none">
          <bgColor auto="1"/>
        </patternFill>
      </fill>
      <border diagonalUp="0" diagonalDown="0">
        <left style="medium">
          <color indexed="64"/>
        </left>
        <right style="medium">
          <color indexed="64"/>
        </right>
        <top style="thin">
          <color indexed="64"/>
        </top>
        <bottom/>
        <vertic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8"/>
        <color auto="1"/>
        <name val="Calibri"/>
        <family val="2"/>
        <scheme val="minor"/>
      </font>
      <fill>
        <patternFill patternType="none">
          <bgColor auto="1"/>
        </patternFill>
      </fill>
    </dxf>
    <dxf>
      <font>
        <b/>
        <i val="0"/>
        <strike val="0"/>
        <condense val="0"/>
        <extend val="0"/>
        <outline val="0"/>
        <shadow val="0"/>
        <u val="none"/>
        <vertAlign val="baseline"/>
        <sz val="18"/>
        <color theme="0"/>
        <name val="Calibri"/>
        <family val="2"/>
        <scheme val="minor"/>
      </font>
      <fill>
        <patternFill patternType="solid">
          <fgColor indexed="64"/>
          <bgColor theme="9"/>
        </patternFill>
      </fill>
      <alignment horizontal="center" vertical="bottom" textRotation="0" wrapText="0" indent="0" justifyLastLine="0" shrinkToFit="0" readingOrder="0"/>
    </dxf>
    <dxf>
      <font>
        <b val="0"/>
        <i val="0"/>
        <strike val="0"/>
        <condense val="0"/>
        <extend val="0"/>
        <outline val="0"/>
        <shadow val="0"/>
        <u val="none"/>
        <vertAlign val="baseline"/>
        <sz val="18"/>
        <color theme="1"/>
        <name val="Calibri"/>
        <family val="2"/>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ck">
          <color indexed="64"/>
        </left>
        <right style="thick">
          <color indexed="64"/>
        </right>
        <top style="thick">
          <color indexed="64"/>
        </top>
        <bottom style="thick">
          <color indexed="64"/>
        </bottom>
      </border>
    </dxf>
    <dxf>
      <border>
        <bottom style="thick">
          <color indexed="64"/>
        </bottom>
      </border>
    </dxf>
    <dxf>
      <border diagonalUp="0" diagonalDown="0">
        <left style="thin">
          <color indexed="64"/>
        </left>
        <right style="thin">
          <color indexed="64"/>
        </right>
        <top/>
        <bottom/>
        <vertical style="thin">
          <color indexed="64"/>
        </vertical>
        <horizontal/>
      </border>
    </dxf>
    <dxf>
      <font>
        <b/>
        <i val="0"/>
        <color rgb="FFFF0000"/>
      </font>
    </dxf>
    <dxf>
      <font>
        <b/>
        <i val="0"/>
        <color rgb="FFFF0000"/>
      </font>
    </dxf>
    <dxf>
      <font>
        <b/>
        <i val="0"/>
        <color rgb="FFFF0000"/>
      </font>
    </dxf>
    <dxf>
      <font>
        <b/>
        <i val="0"/>
        <color rgb="FFFF0000"/>
      </font>
    </dxf>
    <dxf>
      <font>
        <b/>
        <i val="0"/>
        <color rgb="FFFF0000"/>
      </font>
    </dxf>
    <dxf>
      <fill>
        <patternFill>
          <bgColor theme="4" tint="-0.24994659260841701"/>
        </patternFill>
      </fill>
    </dxf>
    <dxf>
      <font>
        <b val="0"/>
        <i val="0"/>
        <color auto="1"/>
      </font>
      <fill>
        <patternFill>
          <bgColor theme="1"/>
        </patternFill>
      </fill>
    </dxf>
    <dxf>
      <fill>
        <patternFill patternType="none">
          <fgColor indexed="64"/>
          <bgColor auto="1"/>
        </patternFill>
      </fill>
      <border diagonalUp="0" diagonalDown="0" outline="0">
        <left style="thin">
          <color indexed="64"/>
        </left>
        <right/>
        <top/>
        <bottom/>
      </border>
    </dxf>
    <dxf>
      <font>
        <b/>
        <family val="2"/>
      </font>
      <fill>
        <patternFill patternType="none">
          <fgColor indexed="64"/>
          <bgColor auto="1"/>
        </patternFill>
      </fill>
      <alignment horizontal="center" vertical="bottom" textRotation="0" wrapText="0" indent="0" justifyLastLine="0" shrinkToFit="0" readingOrder="0"/>
      <border diagonalUp="0" diagonalDown="0" outline="0">
        <left style="thick">
          <color indexed="64"/>
        </left>
        <right style="thick">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style="thin">
          <color indexed="64"/>
        </bottom>
      </border>
    </dxf>
    <dxf>
      <border diagonalUp="0" diagonalDown="0">
        <left style="thick">
          <color indexed="64"/>
        </left>
        <right style="thick">
          <color indexed="64"/>
        </right>
        <top style="thick">
          <color indexed="64"/>
        </top>
        <bottom style="thick">
          <color indexed="64"/>
        </bottom>
      </border>
    </dxf>
    <dxf>
      <fill>
        <patternFill patternType="none">
          <fgColor indexed="64"/>
          <bgColor auto="1"/>
        </patternFill>
      </fill>
    </dxf>
    <dxf>
      <border>
        <bottom style="thick">
          <color indexed="64"/>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patternFill>
      </fill>
    </dxf>
  </dxfs>
  <tableStyles count="0" defaultTableStyle="TableStyleMedium2" defaultPivotStyle="PivotStyleLight16"/>
  <colors>
    <mruColors>
      <color rgb="FFE5CDFB"/>
      <color rgb="FFD5ADF9"/>
      <color rgb="FFECAAFC"/>
      <color rgb="FFFF99FF"/>
      <color rgb="FFFF66CC"/>
      <color rgb="FFDB64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TR042856\Documents\Sports\Brackets\Double%2520Elimin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042856/Documents/Sports/Yard%20Game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3"/>
      <sheetName val="4"/>
      <sheetName val="5"/>
      <sheetName val="6"/>
      <sheetName val="7"/>
      <sheetName val="8"/>
      <sheetName val="9"/>
      <sheetName val="10"/>
      <sheetName val="11"/>
      <sheetName val="12"/>
      <sheetName val="13"/>
      <sheetName val="14"/>
      <sheetName val="15"/>
      <sheetName val="16"/>
      <sheetName val="20"/>
      <sheetName val="24"/>
      <sheetName val="30"/>
      <sheetName val="32"/>
      <sheetName val="©"/>
    </sheetNames>
    <sheetDataSet>
      <sheetData sheetId="0">
        <row r="18">
          <cell r="F18" t="b">
            <v>1</v>
          </cell>
        </row>
        <row r="24">
          <cell r="F24"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eboard"/>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coreboard" displayName="Scoreboard" ref="B3:O19" totalsRowShown="0" dataDxfId="100" headerRowBorderDxfId="101" tableBorderDxfId="99">
  <sortState xmlns:xlrd2="http://schemas.microsoft.com/office/spreadsheetml/2017/richdata2" ref="B4:O19">
    <sortCondition descending="1" ref="O4:O19"/>
  </sortState>
  <tableColumns count="14">
    <tableColumn id="14" xr3:uid="{00000000-0010-0000-0000-00000E000000}" name=" " dataDxfId="98">
      <calculatedColumnFormula>RANK(Scoreboard[[#This Row],[TOTAL]],Scoreboard[TOTAL],0)</calculatedColumnFormula>
    </tableColumn>
    <tableColumn id="1" xr3:uid="{00000000-0010-0000-0000-000001000000}" name="  " dataDxfId="97" dataCellStyle="Normal"/>
    <tableColumn id="2" xr3:uid="{00000000-0010-0000-0000-000002000000}" name="Cornhole" dataDxfId="96">
      <calculatedColumnFormula>IFERROR(VLOOKUP(Scoreboard[[#This Row],[  ]],Cornhole!$V$18:$W$25,2,FALSE),"")</calculatedColumnFormula>
    </tableColumn>
    <tableColumn id="3" xr3:uid="{00000000-0010-0000-0000-000003000000}" name="Stump" dataDxfId="95" totalsRowDxfId="94">
      <calculatedColumnFormula>IFERROR(VLOOKUP(Scoreboard[[#This Row],[  ]],Stump!$S$9:$T$16,2,FALSE),"")</calculatedColumnFormula>
    </tableColumn>
    <tableColumn id="7" xr3:uid="{00000000-0010-0000-0000-000007000000}" name="Knockout" dataDxfId="93" totalsRowDxfId="92">
      <calculatedColumnFormula>IFERROR(VLOOKUP(Scoreboard[[#This Row],[  ]],Knockout!$T$9:$U$16,2,FALSE),"")</calculatedColumnFormula>
    </tableColumn>
    <tableColumn id="10" xr3:uid="{00000000-0010-0000-0000-00000A000000}" name="Kubb" dataDxfId="91" totalsRowDxfId="90">
      <calculatedColumnFormula>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calculatedColumnFormula>
    </tableColumn>
    <tableColumn id="4" xr3:uid="{00000000-0010-0000-0000-000004000000}" name="Frisbee" dataDxfId="89" totalsRowDxfId="88">
      <calculatedColumnFormula>IFERROR(VLOOKUP(Scoreboard[[#This Row],[  ]],Frisbee!$S$14:$T$21,2,FALSE),"")</calculatedColumnFormula>
    </tableColumn>
    <tableColumn id="5" xr3:uid="{00000000-0010-0000-0000-000005000000}" name="Golf" dataDxfId="87" totalsRowDxfId="86">
      <calculatedColumnFormula>IFERROR(VLOOKUP(Scoreboard[[#This Row],[  ]],Golf!$M$4:$N$11,2,FALSE),"")</calculatedColumnFormula>
    </tableColumn>
    <tableColumn id="9" xr3:uid="{00000000-0010-0000-0000-000009000000}" name="Dodgeball Roulette" dataDxfId="85" totalsRowDxfId="84"/>
    <tableColumn id="6" xr3:uid="{00000000-0010-0000-0000-000006000000}" name="Trivia" dataDxfId="83" totalsRowDxfId="82"/>
    <tableColumn id="8" xr3:uid="{00000000-0010-0000-0000-000008000000}" name="Complete Relay" dataDxfId="81" totalsRowDxfId="80">
      <calculatedColumnFormula>IFERROR(VLOOKUP(Scoreboard[[#This Row],[  ]],Relay!$H$25:$I$32,2,FALSE),"")</calculatedColumnFormula>
    </tableColumn>
    <tableColumn id="11" xr3:uid="{00000000-0010-0000-0000-00000B000000}" name="Pass the Trash " dataDxfId="79" totalsRowDxfId="78">
      <calculatedColumnFormula>IFERROR(VLOOKUP(Scoreboard[[#This Row],[  ]],'Pass the Trash'!$T$9:$U$16,2,FALSE),"")</calculatedColumnFormula>
    </tableColumn>
    <tableColumn id="12" xr3:uid="{00000000-0010-0000-0000-00000C000000}" name="Speed Quarters" dataDxfId="77" totalsRowDxfId="76"/>
    <tableColumn id="13" xr3:uid="{00000000-0010-0000-0000-00000D000000}" name="TOTAL" dataDxfId="75" totalsRowDxfId="74">
      <calculatedColumnFormula>SUM(D4:N4)</calculatedColumnFormula>
    </tableColumn>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V8:Y24" totalsRowShown="0" headerRowDxfId="66" headerRowBorderDxfId="65" tableBorderDxfId="64" totalsRowBorderDxfId="63">
  <tableColumns count="4">
    <tableColumn id="1" xr3:uid="{00000000-0010-0000-0100-000001000000}" name="Girl" dataDxfId="62"/>
    <tableColumn id="2" xr3:uid="{00000000-0010-0000-0100-000002000000}" name="Entry" dataDxfId="61"/>
    <tableColumn id="3" xr3:uid="{00000000-0010-0000-0100-000003000000}" name="Order" dataDxfId="60"/>
    <tableColumn id="6" xr3:uid="{00000000-0010-0000-0100-000006000000}" name="Guy" dataDxfId="59">
      <calculatedColumnFormula>_xlfn.XLOOKUP(Table5[[#This Row],[Girl]],Table1[Column2],Table1[Column1],"",0,1)</calculatedColumnFormula>
    </tableColumn>
  </tableColumns>
  <tableStyleInfo name="TableStyleMedium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K8:P24" totalsRowShown="0" headerRowDxfId="58" dataDxfId="57" tableBorderDxfId="56">
  <sortState xmlns:xlrd2="http://schemas.microsoft.com/office/spreadsheetml/2017/richdata2" ref="K9:P22">
    <sortCondition ref="K9:K22"/>
  </sortState>
  <tableColumns count="6">
    <tableColumn id="1" xr3:uid="{00000000-0010-0000-0200-000001000000}" name="STUMP Total" dataDxfId="55">
      <calculatedColumnFormula>$Q9</calculatedColumnFormula>
    </tableColumn>
    <tableColumn id="2" xr3:uid="{00000000-0010-0000-0200-000002000000}" name="Column1" dataDxfId="54">
      <calculatedColumnFormula>LEFT(Stump!$Q9,FIND(" ",Stump!$Q9,1))</calculatedColumnFormula>
    </tableColumn>
    <tableColumn id="3" xr3:uid="{00000000-0010-0000-0200-000003000000}" name="Column2" dataDxfId="53">
      <calculatedColumnFormula>RIGHT(Q9,LEN(Q9)-FIND("*",SUBSTITUTE(Q9," ","*",LEN(Q9)-LEN(SUBSTITUTE(Q9," ","")))))</calculatedColumnFormula>
    </tableColumn>
    <tableColumn id="4" xr3:uid="{00000000-0010-0000-0200-000004000000}" name="Column3" dataDxfId="52">
      <calculatedColumnFormula>IF($C$10=M9,10,IF($C$11=M9,8,IF($C$12=M9,6,(IF($C$13=M9,5,(IF($C$14=M9,4,IF($C$15=M9,3,IF($C$16=M9,2,IF($C$17=M9,1,0))))))))))</calculatedColumnFormula>
    </tableColumn>
    <tableColumn id="5" xr3:uid="{00000000-0010-0000-0200-000005000000}" name="Column4" dataDxfId="51">
      <calculatedColumnFormula>IF($G$10=L9,10,IF($G$11=L9,8,IF($G$12=L9,6,(IF($G$13=L9,5,(IF($G$14=L9,4,IF($G$15=L9,3,IF($G$16=L9,2,IF($G$17=L9,1,0))))))))))</calculatedColumnFormula>
    </tableColumn>
    <tableColumn id="6" xr3:uid="{00000000-0010-0000-0200-000006000000}" name="Pts" dataDxfId="50">
      <calculatedColumnFormula>SUM(N9:O9)</calculatedColumnFormula>
    </tableColumn>
  </tableColumns>
  <tableStyleInfo name="TableStyleMedium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Knockout" displayName="Knockout" ref="K8:Q24" totalsRowShown="0" headerRowDxfId="45" dataDxfId="43" headerRowBorderDxfId="44" tableBorderDxfId="42">
  <sortState xmlns:xlrd2="http://schemas.microsoft.com/office/spreadsheetml/2017/richdata2" ref="K9:Q22">
    <sortCondition descending="1" ref="P9:P22"/>
    <sortCondition ref="K9:K22"/>
  </sortState>
  <tableColumns count="7">
    <tableColumn id="1" xr3:uid="{00000000-0010-0000-0300-000001000000}" name="Knockout Total" dataDxfId="41">
      <calculatedColumnFormula>Knockout[[#This Row],[Column5]]</calculatedColumnFormula>
    </tableColumn>
    <tableColumn id="2" xr3:uid="{00000000-0010-0000-0300-000002000000}" name="Column1" dataDxfId="40">
      <calculatedColumnFormula>LEFT(Knockout[[#This Row],[Column5]],FIND(" ",Knockout[[#This Row],[Column5]],1))</calculatedColumnFormula>
    </tableColumn>
    <tableColumn id="3" xr3:uid="{00000000-0010-0000-0300-000003000000}" name="Column2" dataDxfId="39">
      <calculatedColumnFormula>RIGHT(Q9,LEN(Q9)-FIND("*",SUBSTITUTE(Q9," ","*",LEN(Q9)-LEN(SUBSTITUTE(Q9," ","")))))</calculatedColumnFormula>
    </tableColumn>
    <tableColumn id="4" xr3:uid="{00000000-0010-0000-0300-000004000000}" name="Column3" dataDxfId="38">
      <calculatedColumnFormula>IF($C$10=M9,10,IF($C$11=M9,8,IF($C$12=M9,6,(IF($C$13=M9,5,(IF($C$14=M9,4,IF($C$15=M9,3,IF($C$16=M9,2,IF($C$17=M9,1,0))))))))))</calculatedColumnFormula>
    </tableColumn>
    <tableColumn id="5" xr3:uid="{00000000-0010-0000-0300-000005000000}" name="Column4" dataDxfId="37">
      <calculatedColumnFormula>IF($G$10=L9,10,IF($G$11=L9,8,IF($G$12=L9,6,(IF($G$13=L9,5,(IF($G$14=L9,4,IF($G$15=L9,3,IF($G$16=L9,2,IF($G$17=L9,1,0))))))))))</calculatedColumnFormula>
    </tableColumn>
    <tableColumn id="6" xr3:uid="{00000000-0010-0000-0300-000006000000}" name="Pts" dataDxfId="36">
      <calculatedColumnFormula>SUM(N9:O9)</calculatedColumnFormula>
    </tableColumn>
    <tableColumn id="8" xr3:uid="{00000000-0010-0000-0300-000008000000}" name="Column5" dataDxfId="35">
      <calculatedColumnFormula>Scoreboard!C4</calculatedColumnFormula>
    </tableColumn>
  </tableColumns>
  <tableStyleInfo name="TableStyleMedium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DEE1440-6E01-49B9-903E-A64BF28A1951}" name="Table7" displayName="Table7" ref="C3:J19" totalsRowShown="0" headerRowDxfId="34" dataDxfId="32" headerRowBorderDxfId="33" tableBorderDxfId="31" totalsRowBorderDxfId="30">
  <sortState xmlns:xlrd2="http://schemas.microsoft.com/office/spreadsheetml/2017/richdata2" ref="C4:J19">
    <sortCondition ref="D4:D19"/>
  </sortState>
  <tableColumns count="8">
    <tableColumn id="1" xr3:uid="{8E9E1800-502E-46CF-8D7A-3A2BCF0A0BD6}" name="Team" dataDxfId="29"/>
    <tableColumn id="2" xr3:uid="{E13CB2D7-C7E3-4C37-B810-DBEE9EDF4BE8}" name="Overall" dataDxfId="28">
      <calculatedColumnFormula>_xlfn.XLOOKUP(Table7[[#This Row],[Team]],Scoreboard[[  ]],Scoreboard[TOTAL],"",0)</calculatedColumnFormula>
    </tableColumn>
    <tableColumn id="3" xr3:uid="{62671086-83EB-4A24-B592-05C4571945F5}" name="Shot 1" dataDxfId="27"/>
    <tableColumn id="4" xr3:uid="{1983BC09-8EE0-4766-8FFC-DC25E06DFE20}" name="Shot 2" dataDxfId="26"/>
    <tableColumn id="5" xr3:uid="{B0D6E516-F6F4-47C7-AC4B-A03F4579C818}" name="Shot 3" dataDxfId="25"/>
    <tableColumn id="6" xr3:uid="{BE688A41-B171-42F7-8661-AC776BEE5193}" name="Shot 4" dataDxfId="24"/>
    <tableColumn id="7" xr3:uid="{5296E421-F929-4F70-883C-633819593062}" name="TOTAL" dataDxfId="23">
      <calculatedColumnFormula>SUM(E4:H4)</calculatedColumnFormula>
    </tableColumn>
    <tableColumn id="8" xr3:uid="{B25A78FD-9281-4AFF-878F-A1291BBD89D2}" name="Tiebreaker" dataDxfId="22">
      <calculatedColumnFormula>F4+H4</calculatedColumnFormula>
    </tableColumn>
  </tableColumns>
  <tableStyleInfo name="TableStyleMedium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O2:R6" totalsRowShown="0" headerRowDxfId="21" dataDxfId="19" headerRowBorderDxfId="20">
  <tableColumns count="4">
    <tableColumn id="1" xr3:uid="{00000000-0010-0000-0400-000001000000}" name="Group 1" dataDxfId="18"/>
    <tableColumn id="2" xr3:uid="{00000000-0010-0000-0400-000002000000}" name="Group 2" dataDxfId="17"/>
    <tableColumn id="3" xr3:uid="{00000000-0010-0000-0400-000003000000}" name="Group 3" dataDxfId="16"/>
    <tableColumn id="4" xr3:uid="{00000000-0010-0000-0400-000004000000}" name="Group 4" dataDxfId="15"/>
  </tableColumns>
  <tableStyleInfo name="TableStyleMedium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Knockout7" displayName="Knockout7" ref="K8:Q24" totalsRowShown="0" headerRowDxfId="10" dataDxfId="8" headerRowBorderDxfId="9" tableBorderDxfId="7">
  <sortState xmlns:xlrd2="http://schemas.microsoft.com/office/spreadsheetml/2017/richdata2" ref="K9:Q22">
    <sortCondition descending="1" ref="P9:P22"/>
    <sortCondition ref="K9:K22"/>
  </sortState>
  <tableColumns count="7">
    <tableColumn id="1" xr3:uid="{00000000-0010-0000-0600-000001000000}" name="Team Total" dataDxfId="6">
      <calculatedColumnFormula>Knockout7[[#This Row],[Column5]]</calculatedColumnFormula>
    </tableColumn>
    <tableColumn id="2" xr3:uid="{00000000-0010-0000-0600-000002000000}" name="Column1" dataDxfId="5">
      <calculatedColumnFormula>LEFT(Knockout7[[#This Row],[Column5]],FIND(" ",Knockout7[[#This Row],[Column5]],1))</calculatedColumnFormula>
    </tableColumn>
    <tableColumn id="3" xr3:uid="{00000000-0010-0000-0600-000003000000}" name="Column2" dataDxfId="4">
      <calculatedColumnFormula>RIGHT(Q9,LEN(Q9)-FIND("*",SUBSTITUTE(Q9," ","*",LEN(Q9)-LEN(SUBSTITUTE(Q9," ","")))))</calculatedColumnFormula>
    </tableColumn>
    <tableColumn id="4" xr3:uid="{00000000-0010-0000-0600-000004000000}" name="Column3" dataDxfId="3">
      <calculatedColumnFormula>IF($C$10=M9,10,IF($C$11=M9,8,IF($C$12=M9,6,(IF($C$13=M9,5,(IF($C$14=M9,4,IF($C$15=M9,3,IF($C$16=M9,2,IF($C$17=M9,1,0))))))))))</calculatedColumnFormula>
    </tableColumn>
    <tableColumn id="5" xr3:uid="{00000000-0010-0000-0600-000005000000}" name="Column4" dataDxfId="2">
      <calculatedColumnFormula>IF($G$10=L9,10,IF($G$11=L9,8,IF($G$12=L9,6,(IF($G$13=L9,5,(IF($G$14=L9,4,IF($G$15=L9,3,IF($G$16=L9,2,IF($G$17=L9,1,0))))))))))</calculatedColumnFormula>
    </tableColumn>
    <tableColumn id="6" xr3:uid="{00000000-0010-0000-0600-000006000000}" name="Pts" dataDxfId="1">
      <calculatedColumnFormula>SUM(N9:O9)</calculatedColumnFormula>
    </tableColumn>
    <tableColumn id="8" xr3:uid="{00000000-0010-0000-0600-000008000000}" name="Column5" dataDxfId="0">
      <calculatedColumnFormula>Scoreboard!C4</calculatedColumnFormula>
    </tableColumn>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ertex42.com/ExcelTemplates/tournament-bracket-template.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vertex42.com/ExcelTemplates/tournament-bracket-template.html"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ertex42.com/ExcelTemplates/tournament-bracket-template.html"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3"/>
  <sheetViews>
    <sheetView showGridLines="0" showRowColHeaders="0" showZeros="0" tabSelected="1" zoomScale="155" zoomScaleNormal="155" workbookViewId="0">
      <selection activeCell="N7" sqref="N7"/>
    </sheetView>
  </sheetViews>
  <sheetFormatPr defaultRowHeight="14.4" x14ac:dyDescent="0.3"/>
  <cols>
    <col min="1" max="1" width="2.44140625" customWidth="1"/>
    <col min="2" max="2" width="7.21875" bestFit="1" customWidth="1"/>
    <col min="3" max="3" width="17" customWidth="1"/>
    <col min="4" max="11" width="8.5546875" customWidth="1"/>
    <col min="12" max="12" width="9.44140625" customWidth="1"/>
    <col min="13" max="14" width="9.33203125" customWidth="1"/>
    <col min="15" max="16" width="8.5546875" customWidth="1"/>
    <col min="17" max="17" width="7.21875" customWidth="1"/>
  </cols>
  <sheetData>
    <row r="1" spans="1:15" ht="13.95" customHeight="1" thickBot="1" x14ac:dyDescent="0.35">
      <c r="A1" s="8" t="s">
        <v>6</v>
      </c>
      <c r="B1" s="8"/>
      <c r="C1" t="s">
        <v>6</v>
      </c>
      <c r="D1" s="8"/>
    </row>
    <row r="2" spans="1:15" ht="14.7" customHeight="1" thickTop="1" thickBot="1" x14ac:dyDescent="0.35">
      <c r="C2" s="8"/>
      <c r="M2" s="10" t="s">
        <v>159</v>
      </c>
      <c r="N2" s="10" t="s">
        <v>8</v>
      </c>
    </row>
    <row r="3" spans="1:15" ht="31.35" thickTop="1" thickBot="1" x14ac:dyDescent="0.35">
      <c r="B3" s="195" t="s">
        <v>6</v>
      </c>
      <c r="C3" s="282" t="s">
        <v>81</v>
      </c>
      <c r="D3" s="196" t="s">
        <v>0</v>
      </c>
      <c r="E3" s="196" t="s">
        <v>2</v>
      </c>
      <c r="F3" s="196" t="s">
        <v>1</v>
      </c>
      <c r="G3" s="196" t="s">
        <v>51</v>
      </c>
      <c r="H3" s="196" t="s">
        <v>146</v>
      </c>
      <c r="I3" s="196" t="s">
        <v>7</v>
      </c>
      <c r="J3" s="295" t="s">
        <v>196</v>
      </c>
      <c r="K3" s="196" t="s">
        <v>3</v>
      </c>
      <c r="L3" s="250" t="s">
        <v>39</v>
      </c>
      <c r="M3" s="250" t="s">
        <v>4</v>
      </c>
      <c r="N3" s="197" t="s">
        <v>52</v>
      </c>
      <c r="O3" s="198" t="s">
        <v>5</v>
      </c>
    </row>
    <row r="4" spans="1:15" ht="14.7" customHeight="1" thickTop="1" x14ac:dyDescent="0.3">
      <c r="B4" s="283">
        <f ca="1">_xlfn.RANK.EQ(Scoreboard[[#This Row],[TOTAL]],Scoreboard[TOTAL],0)</f>
        <v>1</v>
      </c>
      <c r="C4" s="291" t="s">
        <v>25</v>
      </c>
      <c r="D4" s="102">
        <f>IFERROR(VLOOKUP(Scoreboard[[#This Row],[  ]],Cornhole!$V$18:$W$25,2,FALSE),"")</f>
        <v>5</v>
      </c>
      <c r="E4" s="90">
        <v>8</v>
      </c>
      <c r="F4" s="188">
        <f ca="1">IFERROR(VLOOKUP(Scoreboard[[#This Row],[  ]],Knockout!$T$9:$U$16,2,FALSE),"")</f>
        <v>10</v>
      </c>
      <c r="G4"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6</v>
      </c>
      <c r="H4" s="188">
        <f>IFERROR(VLOOKUP(Scoreboard[[#This Row],[  ]],Frisbee!$S$14:$T$21,2,FALSE),"")</f>
        <v>8</v>
      </c>
      <c r="I4" s="102" t="str">
        <f>IFERROR(VLOOKUP(Scoreboard[[#This Row],[  ]],Golf!$M$4:$N$11,2,FALSE),"")</f>
        <v/>
      </c>
      <c r="J4" s="188">
        <v>5</v>
      </c>
      <c r="K4" s="90">
        <v>8</v>
      </c>
      <c r="L4" s="90">
        <v>8</v>
      </c>
      <c r="M4" s="90">
        <f ca="1">IFERROR(VLOOKUP(Scoreboard[[#This Row],[  ]],'Pass the Trash'!$T$9:$U$16,2,FALSE),"")</f>
        <v>6</v>
      </c>
      <c r="N4" s="90">
        <v>6</v>
      </c>
      <c r="O4" s="194">
        <f t="shared" ref="O4:O19" ca="1" si="0">SUM(D4:N4)</f>
        <v>70</v>
      </c>
    </row>
    <row r="5" spans="1:15" ht="15.6" x14ac:dyDescent="0.3">
      <c r="B5" s="283">
        <f ca="1">_xlfn.RANK.EQ(Scoreboard[[#This Row],[TOTAL]],Scoreboard[TOTAL],0)</f>
        <v>2</v>
      </c>
      <c r="C5" s="324" t="s">
        <v>219</v>
      </c>
      <c r="D5" s="102" t="str">
        <f>IFERROR(VLOOKUP(Scoreboard[[#This Row],[  ]],Cornhole!$V$18:$W$25,2,FALSE),"")</f>
        <v/>
      </c>
      <c r="E5" s="90" t="str">
        <f ca="1">IFERROR(VLOOKUP(Scoreboard[[#This Row],[  ]],Stump!$S$9:$T$16,2,FALSE),"")</f>
        <v/>
      </c>
      <c r="F5" s="188" t="str">
        <f ca="1">IFERROR(VLOOKUP(Scoreboard[[#This Row],[  ]],Knockout!$T$9:$U$16,2,FALSE),"")</f>
        <v/>
      </c>
      <c r="G5"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
      </c>
      <c r="H5" s="188">
        <f>IFERROR(VLOOKUP(Scoreboard[[#This Row],[  ]],Frisbee!$S$14:$T$21,2,FALSE),"")</f>
        <v>10</v>
      </c>
      <c r="I5" s="102">
        <f>IFERROR(VLOOKUP(Scoreboard[[#This Row],[  ]],Golf!$M$4:$N$11,2,FALSE),"")</f>
        <v>8</v>
      </c>
      <c r="J5" s="188">
        <v>10</v>
      </c>
      <c r="K5" s="90">
        <v>3.5</v>
      </c>
      <c r="L5" s="90">
        <v>4</v>
      </c>
      <c r="M5" s="90">
        <f ca="1">IFERROR(VLOOKUP(Scoreboard[[#This Row],[  ]],'Pass the Trash'!$T$9:$U$16,2,FALSE),"")</f>
        <v>5</v>
      </c>
      <c r="N5" s="77">
        <v>10</v>
      </c>
      <c r="O5" s="129">
        <f t="shared" ca="1" si="0"/>
        <v>50.5</v>
      </c>
    </row>
    <row r="6" spans="1:15" ht="15.6" x14ac:dyDescent="0.3">
      <c r="B6" s="283">
        <f ca="1">_xlfn.RANK.EQ(Scoreboard[[#This Row],[TOTAL]],Scoreboard[TOTAL],0)</f>
        <v>3</v>
      </c>
      <c r="C6" s="290" t="s">
        <v>198</v>
      </c>
      <c r="D6" s="102">
        <f>IFERROR(VLOOKUP(Scoreboard[[#This Row],[  ]],Cornhole!$V$18:$W$25,2,FALSE),"")</f>
        <v>8</v>
      </c>
      <c r="E6" s="90" t="str">
        <f ca="1">IFERROR(VLOOKUP(Scoreboard[[#This Row],[  ]],Stump!$S$9:$T$16,2,FALSE),"")</f>
        <v/>
      </c>
      <c r="F6" s="188">
        <v>2.5</v>
      </c>
      <c r="G6"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6</v>
      </c>
      <c r="H6" s="188" t="str">
        <f>IFERROR(VLOOKUP(Scoreboard[[#This Row],[  ]],Frisbee!$S$14:$T$21,2,FALSE),"")</f>
        <v/>
      </c>
      <c r="I6" s="102">
        <f>IFERROR(VLOOKUP(Scoreboard[[#This Row],[  ]],Golf!$M$4:$N$11,2,FALSE),"")</f>
        <v>10</v>
      </c>
      <c r="J6" s="188">
        <v>2</v>
      </c>
      <c r="K6" s="90"/>
      <c r="L6" s="90">
        <v>5</v>
      </c>
      <c r="M6" s="90">
        <f ca="1">IFERROR(VLOOKUP(Scoreboard[[#This Row],[  ]],'Pass the Trash'!$T$9:$U$16,2,FALSE),"")</f>
        <v>1</v>
      </c>
      <c r="N6" s="77">
        <v>3</v>
      </c>
      <c r="O6" s="129">
        <f t="shared" ca="1" si="0"/>
        <v>37.5</v>
      </c>
    </row>
    <row r="7" spans="1:15" ht="15.6" x14ac:dyDescent="0.3">
      <c r="B7" s="283">
        <f ca="1">_xlfn.RANK.EQ(Scoreboard[[#This Row],[TOTAL]],Scoreboard[TOTAL],0)</f>
        <v>4</v>
      </c>
      <c r="C7" s="290" t="s">
        <v>180</v>
      </c>
      <c r="D7" s="102">
        <f>IFERROR(VLOOKUP(Scoreboard[[#This Row],[  ]],Cornhole!$V$18:$W$25,2,FALSE),"")</f>
        <v>6</v>
      </c>
      <c r="E7" s="90">
        <v>8</v>
      </c>
      <c r="F7" s="188" t="str">
        <f ca="1">IFERROR(VLOOKUP(Scoreboard[[#This Row],[  ]],Knockout!$T$9:$U$16,2,FALSE),"")</f>
        <v/>
      </c>
      <c r="G7"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
      </c>
      <c r="H7" s="188">
        <f>IFERROR(VLOOKUP(Scoreboard[[#This Row],[  ]],Frisbee!$S$14:$T$21,2,FALSE),"")</f>
        <v>2</v>
      </c>
      <c r="I7" s="102">
        <f>IFERROR(VLOOKUP(Scoreboard[[#This Row],[  ]],Golf!$M$4:$N$11,2,FALSE),"")</f>
        <v>5</v>
      </c>
      <c r="J7" s="188">
        <v>6</v>
      </c>
      <c r="K7" s="90">
        <v>2</v>
      </c>
      <c r="L7" s="90" t="str">
        <f>IFERROR(VLOOKUP(Scoreboard[[#This Row],[  ]],Relay!$H$25:$I$32,2,FALSE),"")</f>
        <v/>
      </c>
      <c r="M7" s="90">
        <f ca="1">IFERROR(VLOOKUP(Scoreboard[[#This Row],[  ]],'Pass the Trash'!$T$9:$U$16,2,FALSE),"")</f>
        <v>4</v>
      </c>
      <c r="N7" s="77"/>
      <c r="O7" s="129">
        <f t="shared" ca="1" si="0"/>
        <v>33</v>
      </c>
    </row>
    <row r="8" spans="1:15" ht="15.6" x14ac:dyDescent="0.3">
      <c r="B8" s="283">
        <f ca="1">_xlfn.RANK.EQ(Scoreboard[[#This Row],[TOTAL]],Scoreboard[TOTAL],0)</f>
        <v>4</v>
      </c>
      <c r="C8" s="290" t="s">
        <v>132</v>
      </c>
      <c r="D8" s="102" t="str">
        <f>IFERROR(VLOOKUP(Scoreboard[[#This Row],[  ]],Cornhole!$V$18:$W$25,2,FALSE),"")</f>
        <v/>
      </c>
      <c r="E8" s="90">
        <v>8</v>
      </c>
      <c r="F8" s="188">
        <v>4.5</v>
      </c>
      <c r="G8"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
      </c>
      <c r="H8" s="188">
        <f>IFERROR(VLOOKUP(Scoreboard[[#This Row],[  ]],Frisbee!$S$14:$T$21,2,FALSE),"")</f>
        <v>5</v>
      </c>
      <c r="I8" s="102" t="str">
        <f>IFERROR(VLOOKUP(Scoreboard[[#This Row],[  ]],Golf!$M$4:$N$11,2,FALSE),"")</f>
        <v/>
      </c>
      <c r="J8" s="188"/>
      <c r="K8" s="90">
        <v>5.5</v>
      </c>
      <c r="L8" s="90">
        <v>2</v>
      </c>
      <c r="M8" s="90">
        <f ca="1">IFERROR(VLOOKUP(Scoreboard[[#This Row],[  ]],'Pass the Trash'!$T$9:$U$16,2,FALSE),"")</f>
        <v>8</v>
      </c>
      <c r="N8" s="77"/>
      <c r="O8" s="129">
        <f t="shared" ca="1" si="0"/>
        <v>33</v>
      </c>
    </row>
    <row r="9" spans="1:15" ht="15.6" x14ac:dyDescent="0.3">
      <c r="B9" s="283">
        <f ca="1">_xlfn.RANK.EQ(Scoreboard[[#This Row],[TOTAL]],Scoreboard[TOTAL],0)</f>
        <v>6</v>
      </c>
      <c r="C9" s="290" t="s">
        <v>182</v>
      </c>
      <c r="D9" s="102" t="str">
        <f>IFERROR(VLOOKUP(Scoreboard[[#This Row],[  ]],Cornhole!$V$18:$W$25,2,FALSE),"")</f>
        <v/>
      </c>
      <c r="E9" s="90">
        <v>4.5</v>
      </c>
      <c r="F9" s="188">
        <v>7</v>
      </c>
      <c r="G9"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2</v>
      </c>
      <c r="H9" s="188" t="str">
        <f>IFERROR(VLOOKUP(Scoreboard[[#This Row],[  ]],Frisbee!$S$14:$T$21,2,FALSE),"")</f>
        <v/>
      </c>
      <c r="I9" s="102">
        <f>IFERROR(VLOOKUP(Scoreboard[[#This Row],[  ]],Golf!$M$4:$N$11,2,FALSE),"")</f>
        <v>4</v>
      </c>
      <c r="J9" s="188"/>
      <c r="K9" s="90">
        <v>3.5</v>
      </c>
      <c r="L9" s="90" t="str">
        <f>IFERROR(VLOOKUP(Scoreboard[[#This Row],[  ]],Relay!$H$25:$I$32,2,FALSE),"")</f>
        <v/>
      </c>
      <c r="M9" s="90">
        <f ca="1">IFERROR(VLOOKUP(Scoreboard[[#This Row],[  ]],'Pass the Trash'!$T$9:$U$16,2,FALSE),"")</f>
        <v>10</v>
      </c>
      <c r="N9" s="77"/>
      <c r="O9" s="129">
        <f t="shared" ca="1" si="0"/>
        <v>31</v>
      </c>
    </row>
    <row r="10" spans="1:15" ht="15.6" x14ac:dyDescent="0.3">
      <c r="B10" s="283">
        <f ca="1">_xlfn.RANK.EQ(Scoreboard[[#This Row],[TOTAL]],Scoreboard[TOTAL],0)</f>
        <v>7</v>
      </c>
      <c r="C10" s="290" t="s">
        <v>163</v>
      </c>
      <c r="D10" s="102">
        <f>IFERROR(VLOOKUP(Scoreboard[[#This Row],[  ]],Cornhole!$V$18:$W$25,2,FALSE),"")</f>
        <v>3</v>
      </c>
      <c r="E10" s="90">
        <f ca="1">IFERROR(VLOOKUP(Scoreboard[[#This Row],[  ]],Stump!$S$9:$T$16,2,FALSE),"")</f>
        <v>3</v>
      </c>
      <c r="F10" s="188" t="str">
        <f ca="1">IFERROR(VLOOKUP(Scoreboard[[#This Row],[  ]],Knockout!$T$9:$U$16,2,FALSE),"")</f>
        <v/>
      </c>
      <c r="G10"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
      </c>
      <c r="H10" s="188">
        <f>IFERROR(VLOOKUP(Scoreboard[[#This Row],[  ]],Frisbee!$S$14:$T$21,2,FALSE),"")</f>
        <v>6</v>
      </c>
      <c r="I10" s="102">
        <f>IFERROR(VLOOKUP(Scoreboard[[#This Row],[  ]],Golf!$M$4:$N$11,2,FALSE),"")</f>
        <v>6</v>
      </c>
      <c r="J10" s="188"/>
      <c r="K10" s="90"/>
      <c r="L10" s="90">
        <v>3</v>
      </c>
      <c r="M10" s="90">
        <v>2.5</v>
      </c>
      <c r="N10" s="77"/>
      <c r="O10" s="129">
        <f t="shared" ca="1" si="0"/>
        <v>23.5</v>
      </c>
    </row>
    <row r="11" spans="1:15" ht="15.6" x14ac:dyDescent="0.3">
      <c r="B11" s="283">
        <f ca="1">_xlfn.RANK.EQ(Scoreboard[[#This Row],[TOTAL]],Scoreboard[TOTAL],0)</f>
        <v>8</v>
      </c>
      <c r="C11" s="294" t="s">
        <v>222</v>
      </c>
      <c r="D11" s="102" t="str">
        <f>IFERROR(VLOOKUP(Scoreboard[[#This Row],[  ]],Cornhole!$V$18:$W$25,2,FALSE),"")</f>
        <v/>
      </c>
      <c r="E11" s="90" t="str">
        <f ca="1">IFERROR(VLOOKUP(Scoreboard[[#This Row],[  ]],Stump!$S$9:$T$16,2,FALSE),"")</f>
        <v/>
      </c>
      <c r="F11" s="188">
        <v>2.5</v>
      </c>
      <c r="G11"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3</v>
      </c>
      <c r="H11" s="188">
        <f>IFERROR(VLOOKUP(Scoreboard[[#This Row],[  ]],Frisbee!$S$14:$T$21,2,FALSE),"")</f>
        <v>4</v>
      </c>
      <c r="I11" s="102">
        <f>IFERROR(VLOOKUP(Scoreboard[[#This Row],[  ]],Golf!$M$4:$N$11,2,FALSE),"")</f>
        <v>2</v>
      </c>
      <c r="J11" s="188">
        <v>8</v>
      </c>
      <c r="K11" s="90"/>
      <c r="L11" s="90">
        <v>1</v>
      </c>
      <c r="M11" s="90">
        <v>2.5</v>
      </c>
      <c r="N11" s="77"/>
      <c r="O11" s="129">
        <f t="shared" ca="1" si="0"/>
        <v>23</v>
      </c>
    </row>
    <row r="12" spans="1:15" ht="15.6" x14ac:dyDescent="0.3">
      <c r="B12" s="283">
        <f ca="1">_xlfn.RANK.EQ(Scoreboard[[#This Row],[TOTAL]],Scoreboard[TOTAL],0)</f>
        <v>9</v>
      </c>
      <c r="C12" s="290" t="s">
        <v>181</v>
      </c>
      <c r="D12" s="102" t="str">
        <f>IFERROR(VLOOKUP(Scoreboard[[#This Row],[  ]],Cornhole!$V$18:$W$25,2,FALSE),"")</f>
        <v/>
      </c>
      <c r="E12" s="90">
        <v>0.5</v>
      </c>
      <c r="F12" s="188">
        <v>7</v>
      </c>
      <c r="G12"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
      </c>
      <c r="H12" s="188" t="str">
        <f>IFERROR(VLOOKUP(Scoreboard[[#This Row],[  ]],Frisbee!$S$14:$T$21,2,FALSE),"")</f>
        <v/>
      </c>
      <c r="I12" s="102">
        <f>IFERROR(VLOOKUP(Scoreboard[[#This Row],[  ]],Golf!$M$4:$N$11,2,FALSE),"")</f>
        <v>3</v>
      </c>
      <c r="J12" s="188">
        <v>3</v>
      </c>
      <c r="K12" s="90"/>
      <c r="L12" s="90">
        <v>6</v>
      </c>
      <c r="M12" s="90" t="str">
        <f ca="1">IFERROR(VLOOKUP(Scoreboard[[#This Row],[  ]],'Pass the Trash'!$T$9:$U$16,2,FALSE),"")</f>
        <v/>
      </c>
      <c r="N12" s="77"/>
      <c r="O12" s="129">
        <f t="shared" ca="1" si="0"/>
        <v>19.5</v>
      </c>
    </row>
    <row r="13" spans="1:15" ht="15.6" x14ac:dyDescent="0.3">
      <c r="B13" s="283">
        <f ca="1">_xlfn.RANK.EQ(Scoreboard[[#This Row],[TOTAL]],Scoreboard[TOTAL],0)</f>
        <v>10</v>
      </c>
      <c r="C13" s="290" t="s">
        <v>220</v>
      </c>
      <c r="D13" s="102">
        <f>IFERROR(VLOOKUP(Scoreboard[[#This Row],[  ]],Cornhole!$V$18:$W$25,2,FALSE),"")</f>
        <v>4</v>
      </c>
      <c r="E13" s="90">
        <v>4.5</v>
      </c>
      <c r="F13" s="188">
        <v>4.5</v>
      </c>
      <c r="G13"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3</v>
      </c>
      <c r="H13" s="188" t="str">
        <f>IFERROR(VLOOKUP(Scoreboard[[#This Row],[  ]],Frisbee!$S$14:$T$21,2,FALSE),"")</f>
        <v/>
      </c>
      <c r="I13" s="102" t="str">
        <f>IFERROR(VLOOKUP(Scoreboard[[#This Row],[  ]],Golf!$M$4:$N$11,2,FALSE),"")</f>
        <v/>
      </c>
      <c r="J13" s="188"/>
      <c r="K13" s="90"/>
      <c r="L13" s="90" t="str">
        <f>IFERROR(VLOOKUP(Scoreboard[[#This Row],[  ]],Relay!$H$25:$I$32,2,FALSE),"")</f>
        <v/>
      </c>
      <c r="M13" s="90" t="str">
        <f ca="1">IFERROR(VLOOKUP(Scoreboard[[#This Row],[  ]],'Pass the Trash'!$T$9:$U$16,2,FALSE),"")</f>
        <v/>
      </c>
      <c r="N13" s="77"/>
      <c r="O13" s="129">
        <f t="shared" ca="1" si="0"/>
        <v>16</v>
      </c>
    </row>
    <row r="14" spans="1:15" ht="15.6" x14ac:dyDescent="0.3">
      <c r="B14" s="283">
        <f ca="1">_xlfn.RANK.EQ(Scoreboard[[#This Row],[TOTAL]],Scoreboard[TOTAL],0)</f>
        <v>11</v>
      </c>
      <c r="C14" s="290" t="s">
        <v>35</v>
      </c>
      <c r="D14" s="102">
        <f>IFERROR(VLOOKUP(Scoreboard[[#This Row],[  ]],Cornhole!$V$18:$W$25,2,FALSE),"")</f>
        <v>10</v>
      </c>
      <c r="E14" s="90" t="str">
        <f ca="1">IFERROR(VLOOKUP(Scoreboard[[#This Row],[  ]],Stump!$S$9:$T$16,2,FALSE),"")</f>
        <v/>
      </c>
      <c r="F14" s="90" t="str">
        <f ca="1">IFERROR(VLOOKUP(Scoreboard[[#This Row],[  ]],Knockout!$T$9:$U$16,2,FALSE),"")</f>
        <v/>
      </c>
      <c r="G14"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
      </c>
      <c r="H14" s="188">
        <f>IFERROR(VLOOKUP(Scoreboard[[#This Row],[  ]],Frisbee!$S$14:$T$21,2,FALSE),"")</f>
        <v>3</v>
      </c>
      <c r="I14" s="102" t="str">
        <f>IFERROR(VLOOKUP(Scoreboard[[#This Row],[  ]],Golf!$M$4:$N$11,2,FALSE),"")</f>
        <v/>
      </c>
      <c r="J14" s="90"/>
      <c r="K14" s="90">
        <v>1</v>
      </c>
      <c r="L14" s="90" t="str">
        <f>IFERROR(VLOOKUP(Scoreboard[[#This Row],[  ]],Relay!$H$25:$I$32,2,FALSE),"")</f>
        <v/>
      </c>
      <c r="M14" s="90" t="str">
        <f ca="1">IFERROR(VLOOKUP(Scoreboard[[#This Row],[  ]],'Pass the Trash'!$T$9:$U$16,2,FALSE),"")</f>
        <v/>
      </c>
      <c r="N14" s="77"/>
      <c r="O14" s="129">
        <f t="shared" ca="1" si="0"/>
        <v>14</v>
      </c>
    </row>
    <row r="15" spans="1:15" ht="15.6" x14ac:dyDescent="0.3">
      <c r="B15" s="283">
        <f ca="1">_xlfn.RANK.EQ(Scoreboard[[#This Row],[TOTAL]],Scoreboard[TOTAL],0)</f>
        <v>12</v>
      </c>
      <c r="C15" s="290" t="s">
        <v>217</v>
      </c>
      <c r="D15" s="102">
        <f>IFERROR(VLOOKUP(Scoreboard[[#This Row],[  ]],Cornhole!$V$18:$W$25,2,FALSE),"")</f>
        <v>1</v>
      </c>
      <c r="E15" s="90">
        <v>0.5</v>
      </c>
      <c r="F15" s="188">
        <f ca="1">IFERROR(VLOOKUP(Scoreboard[[#This Row],[  ]],Knockout!$T$9:$U$16,2,FALSE),"")</f>
        <v>1</v>
      </c>
      <c r="G15"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
      </c>
      <c r="H15" s="188" t="str">
        <f>IFERROR(VLOOKUP(Scoreboard[[#This Row],[  ]],Frisbee!$S$14:$T$21,2,FALSE),"")</f>
        <v/>
      </c>
      <c r="I15" s="102">
        <f>IFERROR(VLOOKUP(Scoreboard[[#This Row],[  ]],Golf!$M$4:$N$11,2,FALSE),"")</f>
        <v>1</v>
      </c>
      <c r="J15" s="188"/>
      <c r="K15" s="90">
        <v>10</v>
      </c>
      <c r="L15" s="90" t="str">
        <f>IFERROR(VLOOKUP(Scoreboard[[#This Row],[  ]],Relay!$H$25:$I$32,2,FALSE),"")</f>
        <v/>
      </c>
      <c r="M15" s="90" t="str">
        <f ca="1">IFERROR(VLOOKUP(Scoreboard[[#This Row],[  ]],'Pass the Trash'!$T$9:$U$16,2,FALSE),"")</f>
        <v/>
      </c>
      <c r="N15" s="77"/>
      <c r="O15" s="129">
        <f t="shared" ca="1" si="0"/>
        <v>13.5</v>
      </c>
    </row>
    <row r="16" spans="1:15" ht="15.6" x14ac:dyDescent="0.3">
      <c r="B16" s="283">
        <f ca="1">_xlfn.RANK.EQ(Scoreboard[[#This Row],[TOTAL]],Scoreboard[TOTAL],0)</f>
        <v>13</v>
      </c>
      <c r="C16" s="290" t="s">
        <v>215</v>
      </c>
      <c r="D16" s="102" t="str">
        <f>IFERROR(VLOOKUP(Scoreboard[[#This Row],[  ]],Cornhole!$V$18:$W$25,2,FALSE),"")</f>
        <v/>
      </c>
      <c r="E16" s="90" t="str">
        <f ca="1">IFERROR(VLOOKUP(Scoreboard[[#This Row],[  ]],Stump!$S$9:$T$16,2,FALSE),"")</f>
        <v/>
      </c>
      <c r="F16" s="188" t="str">
        <f ca="1">IFERROR(VLOOKUP(Scoreboard[[#This Row],[  ]],Knockout!$T$9:$U$16,2,FALSE),"")</f>
        <v/>
      </c>
      <c r="G16"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3</v>
      </c>
      <c r="H16" s="188" t="str">
        <f>IFERROR(VLOOKUP(Scoreboard[[#This Row],[  ]],Frisbee!$S$14:$T$21,2,FALSE),"")</f>
        <v/>
      </c>
      <c r="I16" s="102" t="str">
        <f>IFERROR(VLOOKUP(Scoreboard[[#This Row],[  ]],Golf!$M$4:$N$11,2,FALSE),"")</f>
        <v/>
      </c>
      <c r="J16" s="188"/>
      <c r="K16" s="90"/>
      <c r="L16" s="90">
        <v>10</v>
      </c>
      <c r="M16" s="90" t="str">
        <f ca="1">IFERROR(VLOOKUP(Scoreboard[[#This Row],[  ]],'Pass the Trash'!$T$9:$U$16,2,FALSE),"")</f>
        <v/>
      </c>
      <c r="N16" s="77"/>
      <c r="O16" s="129">
        <f t="shared" ca="1" si="0"/>
        <v>13</v>
      </c>
    </row>
    <row r="17" spans="2:16" ht="15.6" x14ac:dyDescent="0.3">
      <c r="B17" s="283">
        <f ca="1">_xlfn.RANK.EQ(Scoreboard[[#This Row],[TOTAL]],Scoreboard[TOTAL],0)</f>
        <v>14</v>
      </c>
      <c r="C17" s="290" t="s">
        <v>242</v>
      </c>
      <c r="D17" s="102" t="str">
        <f>IFERROR(VLOOKUP(Scoreboard[[#This Row],[  ]],Cornhole!$V$18:$W$25,2,FALSE),"")</f>
        <v/>
      </c>
      <c r="E17" s="90">
        <f ca="1">IFERROR(VLOOKUP(Scoreboard[[#This Row],[  ]],Stump!$S$9:$T$16,2,FALSE),"")</f>
        <v>2</v>
      </c>
      <c r="F17" s="188" t="str">
        <f ca="1">IFERROR(VLOOKUP(Scoreboard[[#This Row],[  ]],Knockout!$T$9:$U$16,2,FALSE),"")</f>
        <v/>
      </c>
      <c r="G17"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2</v>
      </c>
      <c r="H17" s="188">
        <f>IFERROR(VLOOKUP(Scoreboard[[#This Row],[  ]],Frisbee!$S$14:$T$21,2,FALSE),"")</f>
        <v>1</v>
      </c>
      <c r="I17" s="102" t="str">
        <f>IFERROR(VLOOKUP(Scoreboard[[#This Row],[  ]],Golf!$M$4:$N$11,2,FALSE),"")</f>
        <v/>
      </c>
      <c r="J17" s="188">
        <v>4</v>
      </c>
      <c r="K17" s="90"/>
      <c r="L17" s="90" t="str">
        <f>IFERROR(VLOOKUP(Scoreboard[[#This Row],[  ]],Relay!$H$25:$I$32,2,FALSE),"")</f>
        <v/>
      </c>
      <c r="M17" s="90" t="str">
        <f ca="1">IFERROR(VLOOKUP(Scoreboard[[#This Row],[  ]],'Pass the Trash'!$T$9:$U$16,2,FALSE),"")</f>
        <v/>
      </c>
      <c r="N17" s="206"/>
      <c r="O17" s="129">
        <f t="shared" ca="1" si="0"/>
        <v>9</v>
      </c>
    </row>
    <row r="18" spans="2:16" ht="15.6" x14ac:dyDescent="0.3">
      <c r="B18" s="283">
        <f ca="1">_xlfn.RANK.EQ(Scoreboard[[#This Row],[TOTAL]],Scoreboard[TOTAL],0)</f>
        <v>15</v>
      </c>
      <c r="C18" s="290" t="s">
        <v>197</v>
      </c>
      <c r="D18" s="102">
        <f>IFERROR(VLOOKUP(Scoreboard[[#This Row],[  ]],Cornhole!$V$18:$W$25,2,FALSE),"")</f>
        <v>2</v>
      </c>
      <c r="E18" s="90" t="str">
        <f ca="1">IFERROR(VLOOKUP(Scoreboard[[#This Row],[  ]],Stump!$S$9:$T$16,2,FALSE),"")</f>
        <v/>
      </c>
      <c r="F18" s="188" t="str">
        <f ca="1">IFERROR(VLOOKUP(Scoreboard[[#This Row],[  ]],Knockout!$T$9:$U$16,2,FALSE),"")</f>
        <v/>
      </c>
      <c r="G18"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6</v>
      </c>
      <c r="H18" s="188" t="str">
        <f>IFERROR(VLOOKUP(Scoreboard[[#This Row],[  ]],Frisbee!$S$14:$T$21,2,FALSE),"")</f>
        <v/>
      </c>
      <c r="I18" s="102" t="str">
        <f>IFERROR(VLOOKUP(Scoreboard[[#This Row],[  ]],Golf!$M$4:$N$11,2,FALSE),"")</f>
        <v/>
      </c>
      <c r="J18" s="188"/>
      <c r="K18" s="90"/>
      <c r="L18" s="77" t="str">
        <f>IFERROR(VLOOKUP(Scoreboard[[#This Row],[  ]],Relay!$H$25:$I$32,2,FALSE),"")</f>
        <v/>
      </c>
      <c r="M18" s="77" t="str">
        <f ca="1">IFERROR(VLOOKUP(Scoreboard[[#This Row],[  ]],'Pass the Trash'!$T$9:$U$16,2,FALSE),"")</f>
        <v/>
      </c>
      <c r="N18" s="206"/>
      <c r="O18" s="129">
        <f t="shared" ca="1" si="0"/>
        <v>8</v>
      </c>
    </row>
    <row r="19" spans="2:16" ht="14.7" customHeight="1" thickBot="1" x14ac:dyDescent="0.35">
      <c r="B19" s="283">
        <f ca="1">_xlfn.RANK.EQ(Scoreboard[[#This Row],[TOTAL]],Scoreboard[TOTAL],0)</f>
        <v>16</v>
      </c>
      <c r="C19" s="290" t="s">
        <v>221</v>
      </c>
      <c r="D19" s="102" t="str">
        <f>IFERROR(VLOOKUP(Scoreboard[[#This Row],[  ]],Cornhole!$V$18:$W$25,2,FALSE),"")</f>
        <v/>
      </c>
      <c r="E19" s="90" t="str">
        <f ca="1">IFERROR(VLOOKUP(Scoreboard[[#This Row],[  ]],Stump!$S$9:$T$16,2,FALSE),"")</f>
        <v/>
      </c>
      <c r="F19" s="188" t="str">
        <f ca="1">IFERROR(VLOOKUP(Scoreboard[[#This Row],[  ]],Knockout!$T$9:$U$16,2,FALSE),"")</f>
        <v/>
      </c>
      <c r="G19"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
      </c>
      <c r="H19" s="188" t="str">
        <f>IFERROR(VLOOKUP(Scoreboard[[#This Row],[  ]],Frisbee!$S$14:$T$21,2,FALSE),"")</f>
        <v/>
      </c>
      <c r="I19" s="102" t="str">
        <f>IFERROR(VLOOKUP(Scoreboard[[#This Row],[  ]],Golf!$M$4:$N$11,2,FALSE),"")</f>
        <v/>
      </c>
      <c r="J19" s="188">
        <v>1</v>
      </c>
      <c r="K19" s="90">
        <v>5.5</v>
      </c>
      <c r="L19" s="90" t="str">
        <f>IFERROR(VLOOKUP(Scoreboard[[#This Row],[  ]],Relay!$H$25:$I$32,2,FALSE),"")</f>
        <v/>
      </c>
      <c r="M19" s="292" t="str">
        <f ca="1">IFERROR(VLOOKUP(Scoreboard[[#This Row],[  ]],'Pass the Trash'!$T$9:$U$16,2,FALSE),"")</f>
        <v/>
      </c>
      <c r="N19" s="293"/>
      <c r="O19" s="130">
        <f t="shared" ca="1" si="0"/>
        <v>6.5</v>
      </c>
    </row>
    <row r="20" spans="2:16" ht="15" customHeight="1" thickTop="1" thickBot="1" x14ac:dyDescent="0.35">
      <c r="D20">
        <f>SUM(Scoreboard[Cornhole])</f>
        <v>39</v>
      </c>
      <c r="E20">
        <f ca="1">SUM(Scoreboard[Stump])</f>
        <v>39</v>
      </c>
      <c r="F20">
        <f ca="1">SUM(Scoreboard[Knockout])</f>
        <v>39</v>
      </c>
      <c r="G20">
        <f>SUM(Scoreboard[Kubb])</f>
        <v>31</v>
      </c>
      <c r="H20">
        <f>SUM(Scoreboard[Frisbee])</f>
        <v>39</v>
      </c>
      <c r="I20">
        <f>SUM(Scoreboard[Golf])</f>
        <v>39</v>
      </c>
      <c r="J20">
        <f>SUM(Scoreboard[Dodgeball Roulette])</f>
        <v>39</v>
      </c>
      <c r="K20">
        <f>SUM(Scoreboard[Trivia])</f>
        <v>39</v>
      </c>
      <c r="L20">
        <f>SUM(Scoreboard[Complete Relay])</f>
        <v>39</v>
      </c>
      <c r="M20" s="326" t="s">
        <v>9</v>
      </c>
      <c r="N20" s="327"/>
    </row>
    <row r="21" spans="2:16" ht="15.6" thickTop="1" x14ac:dyDescent="0.3"/>
    <row r="22" spans="2:16" x14ac:dyDescent="0.3">
      <c r="C22" s="289"/>
      <c r="P22" t="s">
        <v>6</v>
      </c>
    </row>
    <row r="23" spans="2:16" x14ac:dyDescent="0.3">
      <c r="C23" s="316" t="s">
        <v>214</v>
      </c>
      <c r="D23" t="s">
        <v>6</v>
      </c>
      <c r="K23" t="s">
        <v>6</v>
      </c>
      <c r="N23" t="s">
        <v>6</v>
      </c>
    </row>
  </sheetData>
  <sortState xmlns:xlrd2="http://schemas.microsoft.com/office/spreadsheetml/2017/richdata2" ref="A1">
    <sortCondition ref="A1"/>
  </sortState>
  <mergeCells count="1">
    <mergeCell ref="M20:N20"/>
  </mergeCells>
  <conditionalFormatting sqref="D4:D19">
    <cfRule type="top10" dxfId="112" priority="80" rank="1"/>
  </conditionalFormatting>
  <conditionalFormatting sqref="G4:G19">
    <cfRule type="top10" dxfId="111" priority="84" rank="1"/>
  </conditionalFormatting>
  <conditionalFormatting sqref="K4:K19">
    <cfRule type="top10" dxfId="110" priority="88" rank="1"/>
  </conditionalFormatting>
  <conditionalFormatting sqref="L4:L19">
    <cfRule type="top10" dxfId="109" priority="94" rank="1"/>
  </conditionalFormatting>
  <conditionalFormatting sqref="M4:M19">
    <cfRule type="top10" dxfId="108" priority="96" rank="1"/>
  </conditionalFormatting>
  <conditionalFormatting sqref="N4:N19">
    <cfRule type="top10" dxfId="107" priority="98" rank="1"/>
  </conditionalFormatting>
  <conditionalFormatting sqref="I4:I19">
    <cfRule type="top10" dxfId="106" priority="100" rank="1"/>
  </conditionalFormatting>
  <conditionalFormatting sqref="J4:J19">
    <cfRule type="top10" dxfId="105" priority="108" rank="1"/>
  </conditionalFormatting>
  <conditionalFormatting sqref="F4:F19">
    <cfRule type="top10" dxfId="104" priority="3" rank="1"/>
  </conditionalFormatting>
  <conditionalFormatting sqref="E4:E19">
    <cfRule type="top10" dxfId="103" priority="2" rank="1"/>
  </conditionalFormatting>
  <conditionalFormatting sqref="H4:H19">
    <cfRule type="top10" dxfId="102" priority="1" rank="1"/>
  </conditionalFormatting>
  <hyperlinks>
    <hyperlink ref="D3" location="Cornhole!D9" display="Cornhole" xr:uid="{00000000-0004-0000-0000-000000000000}"/>
    <hyperlink ref="L3" location="Relay!A1" display="Complete Relay" xr:uid="{00000000-0004-0000-0000-000001000000}"/>
    <hyperlink ref="E3" location="Stump!A1" display="Stump" xr:uid="{00000000-0004-0000-0000-000002000000}"/>
    <hyperlink ref="F3" location="Knockout!A1" display="Knockout" xr:uid="{00000000-0004-0000-0000-000003000000}"/>
    <hyperlink ref="I3" location="Golf!D9" display="Golf" xr:uid="{00000000-0004-0000-0000-000005000000}"/>
    <hyperlink ref="G3" location="Kubb!D10" display="Kubb" xr:uid="{00000000-0004-0000-0000-000006000000}"/>
    <hyperlink ref="M3" location="'Pass the Trash'!A1" display="Pass the Trash " xr:uid="{00000000-0004-0000-0000-000007000000}"/>
    <hyperlink ref="H3" location="Frisbee!A1" display="Frisbee" xr:uid="{00000000-0004-0000-0000-000008000000}"/>
    <hyperlink ref="C23" location="Archives!A1" display="Archive" xr:uid="{0F0B3E85-423E-4EE8-AB23-9DD464D18AF6}"/>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Z90"/>
  <sheetViews>
    <sheetView showGridLines="0" showZeros="0" topLeftCell="C8" zoomScale="65" zoomScaleNormal="65" workbookViewId="0">
      <selection activeCell="Y32" sqref="Y32"/>
    </sheetView>
  </sheetViews>
  <sheetFormatPr defaultColWidth="8.5546875" defaultRowHeight="15.6" customHeight="1" x14ac:dyDescent="0.3"/>
  <cols>
    <col min="1" max="1" width="5.33203125" style="66" customWidth="1"/>
    <col min="2" max="2" width="20" style="66" customWidth="1"/>
    <col min="3" max="3" width="4.5546875" style="66" customWidth="1"/>
    <col min="4" max="4" width="21.109375" style="66" customWidth="1"/>
    <col min="5" max="5" width="4.44140625" style="66" customWidth="1"/>
    <col min="6" max="6" width="21.109375" style="66" customWidth="1"/>
    <col min="7" max="7" width="4.44140625" style="66" customWidth="1"/>
    <col min="8" max="8" width="21.109375" style="66" customWidth="1"/>
    <col min="9" max="9" width="4.44140625" style="66" customWidth="1"/>
    <col min="10" max="10" width="21.109375" style="66" customWidth="1"/>
    <col min="11" max="11" width="4.44140625" style="66" customWidth="1"/>
    <col min="12" max="12" width="21.109375" style="66" customWidth="1"/>
    <col min="13" max="13" width="4.44140625" style="66" customWidth="1"/>
    <col min="14" max="14" width="21.109375" style="66" customWidth="1"/>
    <col min="15" max="16" width="8.5546875" style="66"/>
    <col min="17" max="17" width="11.44140625" style="66" customWidth="1"/>
    <col min="18" max="18" width="8.5546875" style="66"/>
    <col min="19" max="19" width="3.109375" style="66" customWidth="1"/>
    <col min="20" max="21" width="0" style="66" hidden="1" customWidth="1"/>
    <col min="22" max="22" width="22.21875" style="66" customWidth="1"/>
    <col min="23" max="24" width="8.5546875" style="66"/>
    <col min="25" max="26" width="8.5546875" style="66" customWidth="1"/>
    <col min="27" max="16384" width="8.5546875" style="66"/>
  </cols>
  <sheetData>
    <row r="1" spans="1:22" ht="15.6" hidden="1" customHeight="1" x14ac:dyDescent="0.3">
      <c r="A1" s="131"/>
      <c r="B1" s="131"/>
      <c r="C1" s="131"/>
      <c r="D1" s="132"/>
      <c r="E1" s="78"/>
      <c r="F1" s="132"/>
      <c r="G1" s="78"/>
      <c r="H1" s="132"/>
      <c r="I1" s="132"/>
      <c r="J1" s="133" t="b">
        <v>1</v>
      </c>
      <c r="K1" s="78"/>
      <c r="L1" s="132"/>
      <c r="M1" s="132"/>
      <c r="N1" s="132"/>
    </row>
    <row r="2" spans="1:22" ht="15.6" hidden="1" customHeight="1" x14ac:dyDescent="0.3">
      <c r="A2" s="328"/>
      <c r="B2" s="328"/>
      <c r="C2" s="328"/>
      <c r="D2" s="328"/>
      <c r="E2" s="17"/>
      <c r="F2" s="16"/>
      <c r="G2" s="17"/>
      <c r="H2" s="134"/>
      <c r="I2" s="16"/>
      <c r="J2" s="133" t="b">
        <v>1</v>
      </c>
      <c r="K2" s="17"/>
      <c r="L2" s="132"/>
      <c r="M2" s="16"/>
      <c r="N2" s="135"/>
    </row>
    <row r="3" spans="1:22" ht="15.6" hidden="1" customHeight="1" x14ac:dyDescent="0.3"/>
    <row r="4" spans="1:22" ht="15.6" hidden="1" customHeight="1" x14ac:dyDescent="0.5">
      <c r="A4" s="11" t="s">
        <v>77</v>
      </c>
      <c r="B4" s="11"/>
      <c r="C4" s="11"/>
      <c r="D4" s="12"/>
      <c r="E4" s="13"/>
      <c r="F4" s="13"/>
      <c r="G4" s="13"/>
      <c r="H4" s="13"/>
      <c r="I4" s="13"/>
      <c r="J4" s="12"/>
      <c r="K4" s="13"/>
      <c r="L4" s="13"/>
      <c r="M4" s="13"/>
      <c r="N4" s="13"/>
    </row>
    <row r="5" spans="1:22" ht="15.6" hidden="1" customHeight="1" x14ac:dyDescent="0.3">
      <c r="J5" s="14"/>
    </row>
    <row r="6" spans="1:22" ht="15.6" hidden="1" customHeight="1" x14ac:dyDescent="0.3">
      <c r="J6" s="14"/>
    </row>
    <row r="7" spans="1:22" ht="15.6" hidden="1" customHeight="1" x14ac:dyDescent="0.3">
      <c r="J7" s="14"/>
    </row>
    <row r="8" spans="1:22" ht="15.6" customHeight="1" thickBot="1" x14ac:dyDescent="0.35">
      <c r="A8" s="127">
        <v>1</v>
      </c>
      <c r="B8" s="146"/>
      <c r="C8" s="266"/>
      <c r="J8" s="14"/>
    </row>
    <row r="9" spans="1:22" ht="15.6" customHeight="1" thickBot="1" x14ac:dyDescent="0.35">
      <c r="B9" s="144">
        <v>1</v>
      </c>
      <c r="C9" s="265"/>
      <c r="D9" s="146"/>
      <c r="E9" s="151"/>
      <c r="F9" s="137"/>
      <c r="G9" s="138"/>
      <c r="H9" s="137"/>
      <c r="I9" s="137"/>
      <c r="J9" s="137"/>
      <c r="K9" s="17"/>
      <c r="L9" s="16"/>
      <c r="M9" s="16"/>
      <c r="N9" s="16"/>
    </row>
    <row r="10" spans="1:22" ht="17.100000000000001" customHeight="1" thickBot="1" x14ac:dyDescent="0.45">
      <c r="A10" s="127">
        <v>16</v>
      </c>
      <c r="B10" s="267"/>
      <c r="C10" s="268"/>
      <c r="D10" s="139"/>
      <c r="E10" s="140"/>
      <c r="F10" s="137"/>
      <c r="G10" s="138"/>
      <c r="H10" s="137"/>
      <c r="I10" s="137"/>
      <c r="J10" s="137"/>
      <c r="K10" s="17"/>
      <c r="L10" s="16"/>
      <c r="M10" s="16" t="s">
        <v>108</v>
      </c>
      <c r="N10" s="80"/>
      <c r="Q10" s="332" t="s">
        <v>68</v>
      </c>
      <c r="R10" s="332"/>
      <c r="S10" s="332"/>
      <c r="T10" s="332"/>
      <c r="U10" s="332"/>
      <c r="V10" s="332"/>
    </row>
    <row r="11" spans="1:22" ht="15.6" customHeight="1" x14ac:dyDescent="0.3">
      <c r="B11" s="136"/>
      <c r="C11" s="136"/>
      <c r="D11" s="139"/>
      <c r="E11" s="74"/>
      <c r="F11" s="137"/>
      <c r="G11" s="138"/>
      <c r="H11" s="137"/>
      <c r="I11" s="137"/>
      <c r="J11" s="137"/>
      <c r="K11" s="17"/>
      <c r="L11" s="16"/>
      <c r="M11" s="16"/>
      <c r="N11" s="58" t="s">
        <v>13</v>
      </c>
      <c r="Q11" s="332"/>
      <c r="R11" s="332"/>
      <c r="S11" s="332"/>
      <c r="T11" s="332"/>
      <c r="U11" s="332"/>
      <c r="V11" s="332"/>
    </row>
    <row r="12" spans="1:22" ht="15.6" customHeight="1" thickBot="1" x14ac:dyDescent="0.35">
      <c r="A12" s="16"/>
      <c r="B12" s="137"/>
      <c r="C12" s="137"/>
      <c r="D12" s="141">
        <f>IF($J$1=TRUE,$B$48+1,"")</f>
        <v>9</v>
      </c>
      <c r="E12" s="136"/>
      <c r="F12" s="142"/>
      <c r="G12" s="151"/>
      <c r="H12" s="137"/>
      <c r="I12" s="137"/>
      <c r="J12" s="137"/>
      <c r="K12" s="17"/>
      <c r="L12" s="16"/>
      <c r="M12" s="18"/>
      <c r="N12" s="18"/>
      <c r="Q12" s="332"/>
      <c r="R12" s="332"/>
      <c r="S12" s="332"/>
      <c r="T12" s="332"/>
      <c r="U12" s="332"/>
      <c r="V12" s="332"/>
    </row>
    <row r="13" spans="1:22" ht="16.8" customHeight="1" thickBot="1" x14ac:dyDescent="0.45">
      <c r="A13" s="16"/>
      <c r="B13" s="137" t="s">
        <v>6</v>
      </c>
      <c r="C13" s="137"/>
      <c r="D13" s="29"/>
      <c r="E13" s="74"/>
      <c r="F13" s="137"/>
      <c r="G13" s="143"/>
      <c r="H13" s="137"/>
      <c r="I13" s="137"/>
      <c r="J13" s="137"/>
      <c r="K13" s="17"/>
      <c r="L13" s="16"/>
      <c r="M13" s="16" t="s">
        <v>109</v>
      </c>
      <c r="N13" s="80"/>
    </row>
    <row r="14" spans="1:22" ht="15.6" customHeight="1" thickBot="1" x14ac:dyDescent="0.35">
      <c r="A14" s="127">
        <f>IF($J$2=TRUE,8,"")</f>
        <v>8</v>
      </c>
      <c r="B14" s="146"/>
      <c r="C14" s="151"/>
      <c r="D14" s="29"/>
      <c r="E14" s="74"/>
      <c r="F14" s="137"/>
      <c r="G14" s="143"/>
      <c r="H14" s="137"/>
      <c r="I14" s="137"/>
      <c r="J14" s="137"/>
      <c r="K14" s="44"/>
      <c r="L14" s="16"/>
      <c r="M14" s="16"/>
      <c r="N14" s="125" t="s">
        <v>14</v>
      </c>
    </row>
    <row r="15" spans="1:22" ht="15.6" customHeight="1" thickBot="1" x14ac:dyDescent="0.4">
      <c r="A15" s="128"/>
      <c r="B15" s="144">
        <v>2</v>
      </c>
      <c r="C15" s="81"/>
      <c r="D15" s="15"/>
      <c r="E15" s="153"/>
      <c r="F15" s="137"/>
      <c r="G15" s="145"/>
      <c r="H15" s="137"/>
      <c r="I15" s="137"/>
      <c r="J15" s="137" t="s">
        <v>6</v>
      </c>
      <c r="K15" s="44" t="s">
        <v>75</v>
      </c>
      <c r="L15" s="264"/>
      <c r="M15" s="53"/>
      <c r="N15" s="16"/>
    </row>
    <row r="16" spans="1:22" ht="15.6" customHeight="1" thickBot="1" x14ac:dyDescent="0.35">
      <c r="A16" s="127">
        <f>IF($J$2=TRUE,9,"")</f>
        <v>9</v>
      </c>
      <c r="B16" s="146"/>
      <c r="C16" s="153"/>
      <c r="D16" s="147"/>
      <c r="E16" s="147"/>
      <c r="F16" s="136"/>
      <c r="G16" s="145"/>
      <c r="H16" s="137"/>
      <c r="I16" s="136"/>
      <c r="J16" s="136"/>
      <c r="K16" s="17"/>
      <c r="L16" s="16"/>
      <c r="M16" s="54"/>
      <c r="N16" s="16"/>
    </row>
    <row r="17" spans="1:26" ht="15.6" customHeight="1" x14ac:dyDescent="0.3">
      <c r="A17" s="127"/>
      <c r="B17" s="29"/>
      <c r="C17" s="137"/>
      <c r="D17" s="29"/>
      <c r="E17" s="29"/>
      <c r="F17" s="136"/>
      <c r="G17" s="145"/>
      <c r="H17" s="137"/>
      <c r="I17" s="136"/>
      <c r="J17" s="136"/>
      <c r="L17" s="16"/>
      <c r="M17" s="56" t="s">
        <v>54</v>
      </c>
      <c r="N17" s="16"/>
      <c r="R17" s="260"/>
    </row>
    <row r="18" spans="1:26" ht="16.8" customHeight="1" thickBot="1" x14ac:dyDescent="0.4">
      <c r="A18" s="127"/>
      <c r="B18" s="29"/>
      <c r="C18" s="137"/>
      <c r="D18" s="29" t="s">
        <v>6</v>
      </c>
      <c r="E18" s="29"/>
      <c r="F18" s="136"/>
      <c r="G18" s="145"/>
      <c r="H18" s="137"/>
      <c r="I18" s="136"/>
      <c r="J18" s="136"/>
      <c r="L18" s="16"/>
      <c r="M18" s="57"/>
      <c r="N18" s="76"/>
    </row>
    <row r="19" spans="1:26" ht="15.6" customHeight="1" thickBot="1" x14ac:dyDescent="0.35">
      <c r="A19" s="127">
        <f>IF($J$2=TRUE,5,"")</f>
        <v>5</v>
      </c>
      <c r="B19" s="146"/>
      <c r="C19" s="151"/>
      <c r="D19" s="29"/>
      <c r="E19" s="29"/>
      <c r="F19" s="136"/>
      <c r="G19" s="145"/>
      <c r="H19" s="137"/>
      <c r="I19" s="136"/>
      <c r="J19" s="136"/>
      <c r="L19" s="16"/>
      <c r="M19" s="57"/>
      <c r="N19" s="58" t="s">
        <v>15</v>
      </c>
    </row>
    <row r="20" spans="1:26" ht="15.6" customHeight="1" thickBot="1" x14ac:dyDescent="0.35">
      <c r="A20" s="128"/>
      <c r="B20" s="144">
        <f>IF($J$1=TRUE,B15+1,"")</f>
        <v>3</v>
      </c>
      <c r="C20" s="81"/>
      <c r="D20" s="15"/>
      <c r="E20" s="151"/>
      <c r="F20" s="148">
        <f>IF($J$1=TRUE,D78+1,"")</f>
        <v>20</v>
      </c>
      <c r="G20" s="136"/>
      <c r="H20" s="149"/>
      <c r="I20" s="151"/>
      <c r="J20" s="137"/>
      <c r="K20" s="17" t="s">
        <v>80</v>
      </c>
      <c r="L20" s="263"/>
      <c r="M20" s="55"/>
    </row>
    <row r="21" spans="1:26" ht="16.8" customHeight="1" thickBot="1" x14ac:dyDescent="0.35">
      <c r="A21" s="127">
        <f>IF($J$2=TRUE,12,"")</f>
        <v>12</v>
      </c>
      <c r="B21" s="146"/>
      <c r="C21" s="153"/>
      <c r="D21" s="139"/>
      <c r="E21" s="140"/>
      <c r="F21" s="137"/>
      <c r="G21" s="145"/>
      <c r="H21" s="137"/>
      <c r="I21" s="145"/>
      <c r="J21" s="137"/>
      <c r="L21" s="16"/>
      <c r="M21" s="16"/>
      <c r="N21" s="121">
        <f>IF(N18=L15,L20,IF(N18=L20,L15,""))</f>
        <v>0</v>
      </c>
    </row>
    <row r="22" spans="1:26" ht="15.6" customHeight="1" x14ac:dyDescent="0.3">
      <c r="A22" s="127"/>
      <c r="B22" s="137"/>
      <c r="C22" s="137"/>
      <c r="D22" s="29"/>
      <c r="E22" s="74"/>
      <c r="F22" s="137"/>
      <c r="G22" s="145"/>
      <c r="H22" s="137"/>
      <c r="I22" s="145"/>
      <c r="J22" s="137"/>
      <c r="L22" s="16"/>
      <c r="M22" s="16"/>
      <c r="N22" s="126" t="s">
        <v>16</v>
      </c>
    </row>
    <row r="23" spans="1:26" ht="15.6" customHeight="1" thickBot="1" x14ac:dyDescent="0.45">
      <c r="A23" s="127"/>
      <c r="B23" s="137"/>
      <c r="C23" s="137"/>
      <c r="D23" s="148">
        <f>IF($J$1=TRUE,D12+1,"")</f>
        <v>10</v>
      </c>
      <c r="E23" s="136"/>
      <c r="F23" s="142"/>
      <c r="G23" s="153"/>
      <c r="H23" s="137"/>
      <c r="I23" s="145"/>
      <c r="J23" s="137"/>
      <c r="K23" s="67" t="s">
        <v>58</v>
      </c>
      <c r="L23" s="80"/>
      <c r="M23" s="53"/>
      <c r="N23" s="16"/>
    </row>
    <row r="24" spans="1:26" ht="15.6" customHeight="1" x14ac:dyDescent="0.3">
      <c r="A24" s="127"/>
      <c r="B24" s="137"/>
      <c r="C24" s="137"/>
      <c r="D24" s="29"/>
      <c r="E24" s="74"/>
      <c r="F24" s="137"/>
      <c r="G24" s="138"/>
      <c r="H24" s="137"/>
      <c r="I24" s="145"/>
      <c r="J24" s="137"/>
      <c r="L24" s="16"/>
      <c r="M24" s="54"/>
      <c r="N24" s="16"/>
    </row>
    <row r="25" spans="1:26" ht="16.8" customHeight="1" thickBot="1" x14ac:dyDescent="0.4">
      <c r="A25" s="127">
        <f>IF($J$2=TRUE,4,"")</f>
        <v>4</v>
      </c>
      <c r="B25" s="146"/>
      <c r="C25" s="151"/>
      <c r="D25" s="29"/>
      <c r="E25" s="74"/>
      <c r="F25" s="137"/>
      <c r="G25" s="138"/>
      <c r="H25" s="137"/>
      <c r="I25" s="145"/>
      <c r="J25" s="137"/>
      <c r="L25" s="16"/>
      <c r="M25" s="57"/>
      <c r="N25" s="76"/>
    </row>
    <row r="26" spans="1:26" ht="15.6" customHeight="1" thickBot="1" x14ac:dyDescent="0.35">
      <c r="A26" s="128"/>
      <c r="B26" s="144">
        <f>IF($J$1=TRUE,B20+1,"")</f>
        <v>4</v>
      </c>
      <c r="C26" s="81"/>
      <c r="D26" s="15"/>
      <c r="E26" s="153"/>
      <c r="F26" s="137"/>
      <c r="G26" s="138"/>
      <c r="H26" s="136"/>
      <c r="I26" s="145"/>
      <c r="J26" s="137"/>
      <c r="L26" s="16"/>
      <c r="M26" s="57"/>
      <c r="N26" s="58" t="s">
        <v>17</v>
      </c>
    </row>
    <row r="27" spans="1:26" ht="15.6" customHeight="1" thickBot="1" x14ac:dyDescent="0.45">
      <c r="A27" s="127">
        <f>IF($J$2=TRUE,13,"")</f>
        <v>13</v>
      </c>
      <c r="B27" s="146"/>
      <c r="C27" s="153"/>
      <c r="D27" s="147"/>
      <c r="E27" s="147"/>
      <c r="F27" s="148"/>
      <c r="G27" s="138"/>
      <c r="H27" s="136"/>
      <c r="I27" s="145"/>
      <c r="J27" s="137"/>
      <c r="K27" s="67" t="s">
        <v>76</v>
      </c>
      <c r="L27" s="80"/>
      <c r="M27" s="55"/>
      <c r="N27" s="16"/>
    </row>
    <row r="28" spans="1:26" ht="16.8" customHeight="1" x14ac:dyDescent="0.3">
      <c r="A28" s="127"/>
      <c r="B28" s="29"/>
      <c r="C28" s="137"/>
      <c r="D28" s="29"/>
      <c r="E28" s="29"/>
      <c r="F28" s="148"/>
      <c r="G28" s="138"/>
      <c r="H28" s="136"/>
      <c r="I28" s="145"/>
      <c r="J28" s="137"/>
      <c r="L28" s="16"/>
      <c r="M28" s="16"/>
      <c r="N28" s="121">
        <f>IF(N25=L23,L27,IF(N25=L27,L23,""))</f>
        <v>0</v>
      </c>
    </row>
    <row r="29" spans="1:26" ht="15.6" customHeight="1" x14ac:dyDescent="0.3">
      <c r="A29" s="127"/>
      <c r="B29" s="29"/>
      <c r="C29" s="137"/>
      <c r="D29" s="29"/>
      <c r="E29" s="29"/>
      <c r="F29" s="148"/>
      <c r="G29" s="138"/>
      <c r="H29" s="136"/>
      <c r="I29" s="145"/>
      <c r="J29" s="137"/>
      <c r="L29" s="16"/>
      <c r="M29" s="16"/>
      <c r="N29" s="126" t="s">
        <v>18</v>
      </c>
    </row>
    <row r="30" spans="1:26" ht="15.6" customHeight="1" thickBot="1" x14ac:dyDescent="0.35">
      <c r="A30" s="127">
        <f>IF($J$2=TRUE,3,"")</f>
        <v>3</v>
      </c>
      <c r="B30" s="146"/>
      <c r="C30" s="151"/>
      <c r="D30" s="29"/>
      <c r="E30" s="29"/>
      <c r="F30" s="148"/>
      <c r="G30" s="138"/>
      <c r="H30" s="136"/>
      <c r="I30" s="145"/>
      <c r="J30" s="137"/>
      <c r="K30" s="139"/>
      <c r="N30" s="16"/>
    </row>
    <row r="31" spans="1:26" ht="15.6" customHeight="1" thickBot="1" x14ac:dyDescent="0.35">
      <c r="A31" s="128"/>
      <c r="B31" s="144">
        <f>IF($J$1=TRUE,B26+1,"")</f>
        <v>5</v>
      </c>
      <c r="C31" s="81"/>
      <c r="D31" s="15"/>
      <c r="E31" s="151"/>
      <c r="F31" s="137"/>
      <c r="G31" s="138"/>
      <c r="H31" s="148">
        <f>IF($J$1=TRUE,H78+1,"")</f>
        <v>26</v>
      </c>
      <c r="I31" s="145"/>
      <c r="J31" s="149"/>
      <c r="K31" s="151"/>
      <c r="L31" s="16"/>
      <c r="M31" s="16"/>
    </row>
    <row r="32" spans="1:26" ht="15.6" customHeight="1" thickBot="1" x14ac:dyDescent="0.35">
      <c r="A32" s="127">
        <f>IF($J$2=TRUE,14,"")</f>
        <v>14</v>
      </c>
      <c r="B32" s="146"/>
      <c r="C32" s="153"/>
      <c r="D32" s="139"/>
      <c r="E32" s="145"/>
      <c r="F32" s="137"/>
      <c r="G32" s="138"/>
      <c r="H32" s="137"/>
      <c r="I32" s="145"/>
      <c r="J32" s="137"/>
      <c r="K32" s="27"/>
      <c r="L32" s="16"/>
      <c r="M32" s="16"/>
      <c r="Y32" s="251">
        <f>P36</f>
        <v>0</v>
      </c>
      <c r="Z32" s="251">
        <v>10</v>
      </c>
    </row>
    <row r="33" spans="1:26" ht="15.6" customHeight="1" x14ac:dyDescent="0.3">
      <c r="A33" s="127"/>
      <c r="B33" s="137"/>
      <c r="C33" s="137"/>
      <c r="D33" s="139"/>
      <c r="E33" s="145"/>
      <c r="F33" s="137"/>
      <c r="G33" s="138"/>
      <c r="H33" s="137"/>
      <c r="I33" s="145"/>
      <c r="J33" s="137"/>
      <c r="K33" s="27"/>
      <c r="L33" s="16"/>
      <c r="M33" s="16"/>
      <c r="Y33" s="251">
        <f>V36</f>
        <v>0</v>
      </c>
      <c r="Z33" s="251">
        <v>8</v>
      </c>
    </row>
    <row r="34" spans="1:26" ht="15.6" customHeight="1" thickBot="1" x14ac:dyDescent="0.35">
      <c r="A34" s="127"/>
      <c r="B34" s="137"/>
      <c r="C34" s="137"/>
      <c r="D34" s="148">
        <f>IF($J$1=TRUE,D23+1,"")</f>
        <v>11</v>
      </c>
      <c r="E34" s="136"/>
      <c r="F34" s="142"/>
      <c r="G34" s="151"/>
      <c r="H34" s="137"/>
      <c r="I34" s="145"/>
      <c r="J34" s="137"/>
      <c r="K34" s="27"/>
      <c r="L34" s="16"/>
      <c r="M34" s="16"/>
      <c r="Y34" s="251">
        <f>N10</f>
        <v>0</v>
      </c>
      <c r="Z34" s="251">
        <v>6</v>
      </c>
    </row>
    <row r="35" spans="1:26" ht="15.6" customHeight="1" x14ac:dyDescent="0.3">
      <c r="A35" s="127"/>
      <c r="B35" s="137"/>
      <c r="C35" s="137"/>
      <c r="D35" s="139"/>
      <c r="E35" s="145"/>
      <c r="F35" s="137"/>
      <c r="G35" s="140"/>
      <c r="H35" s="137"/>
      <c r="I35" s="145"/>
      <c r="J35" s="137"/>
      <c r="K35" s="27"/>
      <c r="L35" s="16"/>
      <c r="M35" s="16"/>
      <c r="Y35" s="251">
        <f>N13</f>
        <v>0</v>
      </c>
      <c r="Z35" s="251">
        <v>5</v>
      </c>
    </row>
    <row r="36" spans="1:26" ht="15.6" customHeight="1" thickBot="1" x14ac:dyDescent="0.4">
      <c r="A36" s="127">
        <f>IF($J$2=TRUE,6,"")</f>
        <v>6</v>
      </c>
      <c r="B36" s="146"/>
      <c r="C36" s="151"/>
      <c r="D36" s="139"/>
      <c r="E36" s="145"/>
      <c r="F36" s="137"/>
      <c r="G36" s="143"/>
      <c r="H36" s="137"/>
      <c r="I36" s="145"/>
      <c r="J36" s="137"/>
      <c r="K36" s="27"/>
      <c r="L36" s="16"/>
      <c r="M36" s="139"/>
      <c r="N36" s="45"/>
      <c r="P36" s="329"/>
      <c r="Q36" s="329"/>
      <c r="R36" s="329"/>
      <c r="S36" s="258"/>
      <c r="T36" s="258"/>
      <c r="U36" s="259"/>
      <c r="V36" s="329"/>
      <c r="W36" s="329"/>
      <c r="Y36" s="251">
        <f>N18</f>
        <v>0</v>
      </c>
      <c r="Z36" s="251">
        <v>4</v>
      </c>
    </row>
    <row r="37" spans="1:26" ht="15.6" customHeight="1" thickBot="1" x14ac:dyDescent="0.4">
      <c r="A37" s="128"/>
      <c r="B37" s="144">
        <f>IF($J$1=TRUE,B31+1,"")</f>
        <v>6</v>
      </c>
      <c r="C37" s="81"/>
      <c r="D37" s="15"/>
      <c r="E37" s="153"/>
      <c r="F37" s="148">
        <f>IF($J$1=TRUE,F20+1,"")</f>
        <v>21</v>
      </c>
      <c r="G37" s="150"/>
      <c r="H37" s="151"/>
      <c r="I37" s="153"/>
      <c r="J37" s="148">
        <f>IF($J$1=TRUE,L63+1,"")</f>
        <v>29</v>
      </c>
      <c r="K37" s="27"/>
      <c r="L37" s="31"/>
      <c r="M37" s="151"/>
      <c r="N37" s="16"/>
      <c r="P37" s="330" t="s">
        <v>97</v>
      </c>
      <c r="Q37" s="330"/>
      <c r="R37" s="330"/>
      <c r="S37"/>
      <c r="T37"/>
      <c r="U37"/>
      <c r="V37" s="331" t="s">
        <v>98</v>
      </c>
      <c r="W37" s="331"/>
      <c r="Y37" s="251">
        <f>N21</f>
        <v>0</v>
      </c>
      <c r="Z37" s="251">
        <v>3</v>
      </c>
    </row>
    <row r="38" spans="1:26" ht="15.6" customHeight="1" thickBot="1" x14ac:dyDescent="0.35">
      <c r="A38" s="127">
        <f>IF($J$2=TRUE,11,"")</f>
        <v>11</v>
      </c>
      <c r="B38" s="146"/>
      <c r="C38" s="153"/>
      <c r="D38" s="147"/>
      <c r="E38" s="147"/>
      <c r="F38" s="148"/>
      <c r="G38" s="150"/>
      <c r="H38" s="139"/>
      <c r="I38" s="29"/>
      <c r="J38" s="148"/>
      <c r="K38" s="27"/>
      <c r="L38" s="18"/>
      <c r="M38" s="35"/>
      <c r="N38" s="16"/>
      <c r="Y38" s="251">
        <f>N25</f>
        <v>0</v>
      </c>
      <c r="Z38" s="251">
        <v>2</v>
      </c>
    </row>
    <row r="39" spans="1:26" ht="15.6" customHeight="1" x14ac:dyDescent="0.3">
      <c r="A39" s="127"/>
      <c r="B39" s="137"/>
      <c r="C39" s="137"/>
      <c r="D39" s="29"/>
      <c r="E39" s="29"/>
      <c r="F39" s="148"/>
      <c r="G39" s="150"/>
      <c r="H39" s="139"/>
      <c r="I39" s="29"/>
      <c r="J39" s="148"/>
      <c r="K39" s="27"/>
      <c r="L39" s="18"/>
      <c r="M39" s="36"/>
      <c r="N39" s="16"/>
      <c r="Y39" s="251">
        <f>N28</f>
        <v>0</v>
      </c>
      <c r="Z39" s="251">
        <v>1</v>
      </c>
    </row>
    <row r="40" spans="1:26" ht="15.6" customHeight="1" x14ac:dyDescent="0.3">
      <c r="A40" s="127"/>
      <c r="B40" s="137"/>
      <c r="C40" s="137"/>
      <c r="D40" s="29"/>
      <c r="E40" s="29"/>
      <c r="F40" s="137"/>
      <c r="G40" s="145"/>
      <c r="H40" s="137"/>
      <c r="I40" s="136"/>
      <c r="J40" s="136"/>
      <c r="K40" s="24"/>
      <c r="L40" s="16"/>
      <c r="M40" s="37"/>
      <c r="N40" s="16"/>
    </row>
    <row r="41" spans="1:26" ht="15.6" customHeight="1" thickBot="1" x14ac:dyDescent="0.35">
      <c r="A41" s="127">
        <f>IF($J$2=TRUE,7,"")</f>
        <v>7</v>
      </c>
      <c r="B41" s="146"/>
      <c r="C41" s="151"/>
      <c r="D41" s="29"/>
      <c r="E41" s="29"/>
      <c r="F41" s="148"/>
      <c r="G41" s="145"/>
      <c r="H41" s="137"/>
      <c r="I41" s="137"/>
      <c r="J41" s="136"/>
      <c r="K41" s="24"/>
      <c r="L41" s="16"/>
      <c r="M41" s="37"/>
      <c r="N41" s="16"/>
    </row>
    <row r="42" spans="1:26" ht="15.6" customHeight="1" thickBot="1" x14ac:dyDescent="0.35">
      <c r="A42" s="128"/>
      <c r="B42" s="144">
        <f>IF($J$1=TRUE,B37+1,"")</f>
        <v>7</v>
      </c>
      <c r="C42" s="81"/>
      <c r="D42" s="15"/>
      <c r="E42" s="151"/>
      <c r="F42" s="137"/>
      <c r="G42" s="145"/>
      <c r="H42" s="137"/>
      <c r="I42" s="137"/>
      <c r="J42" s="136"/>
      <c r="K42" s="27"/>
      <c r="M42" s="37"/>
      <c r="N42" s="16"/>
    </row>
    <row r="43" spans="1:26" ht="15.6" customHeight="1" thickBot="1" x14ac:dyDescent="0.35">
      <c r="A43" s="127">
        <f>IF($J$2=TRUE,10,"")</f>
        <v>10</v>
      </c>
      <c r="B43" s="146"/>
      <c r="C43" s="153"/>
      <c r="D43" s="139"/>
      <c r="E43" s="145"/>
      <c r="F43" s="137"/>
      <c r="G43" s="145"/>
      <c r="H43" s="137"/>
      <c r="I43" s="137"/>
      <c r="J43" s="136"/>
      <c r="K43" s="27"/>
      <c r="L43" s="16"/>
      <c r="M43" s="37"/>
      <c r="N43" s="16"/>
    </row>
    <row r="44" spans="1:26" ht="15.6" customHeight="1" x14ac:dyDescent="0.3">
      <c r="A44" s="127"/>
      <c r="B44" s="137"/>
      <c r="C44" s="137"/>
      <c r="D44" s="139"/>
      <c r="E44" s="145"/>
      <c r="F44" s="137"/>
      <c r="G44" s="145"/>
      <c r="H44" s="137"/>
      <c r="I44" s="137"/>
      <c r="J44" s="136"/>
      <c r="K44" s="27"/>
      <c r="L44" s="16"/>
      <c r="M44" s="37"/>
      <c r="N44" s="16"/>
    </row>
    <row r="45" spans="1:26" ht="15.6" customHeight="1" thickBot="1" x14ac:dyDescent="0.35">
      <c r="A45" s="127"/>
      <c r="B45" s="137"/>
      <c r="C45" s="137"/>
      <c r="D45" s="148">
        <f>IF($J$1=TRUE,D34+1,"")</f>
        <v>12</v>
      </c>
      <c r="E45" s="136"/>
      <c r="F45" s="142"/>
      <c r="G45" s="153"/>
      <c r="H45" s="137"/>
      <c r="I45" s="152" t="s">
        <v>104</v>
      </c>
      <c r="J45" s="15"/>
      <c r="K45" s="153"/>
      <c r="L45" s="30">
        <f>IF($J$1=TRUE,J37+1,"")</f>
        <v>30</v>
      </c>
      <c r="M45" s="37"/>
      <c r="N45" s="84"/>
    </row>
    <row r="46" spans="1:26" ht="15.6" customHeight="1" x14ac:dyDescent="0.3">
      <c r="B46" s="185"/>
      <c r="C46" s="139"/>
      <c r="D46" s="139"/>
      <c r="E46" s="145"/>
      <c r="F46" s="137"/>
      <c r="G46" s="138"/>
      <c r="H46" s="137"/>
      <c r="I46" s="136"/>
      <c r="J46" s="136"/>
      <c r="M46" s="37"/>
      <c r="N46" s="85"/>
    </row>
    <row r="47" spans="1:26" ht="15.6" customHeight="1" thickBot="1" x14ac:dyDescent="0.35">
      <c r="A47" s="127">
        <v>2</v>
      </c>
      <c r="B47" s="146"/>
      <c r="C47" s="151"/>
      <c r="D47" s="139"/>
      <c r="E47" s="145"/>
      <c r="F47" s="137"/>
      <c r="G47" s="138"/>
      <c r="H47" s="136"/>
      <c r="I47" s="136"/>
      <c r="J47" s="136"/>
      <c r="M47" s="155"/>
      <c r="N47" s="18"/>
    </row>
    <row r="48" spans="1:26" ht="15.6" customHeight="1" thickBot="1" x14ac:dyDescent="0.35">
      <c r="A48" s="128"/>
      <c r="B48" s="210">
        <f>IF($J$1=TRUE,B42+1,"")</f>
        <v>8</v>
      </c>
      <c r="C48" s="207"/>
      <c r="D48" s="15"/>
      <c r="E48" s="153"/>
      <c r="F48" s="137"/>
      <c r="G48" s="138"/>
      <c r="H48" s="136"/>
      <c r="I48" s="136"/>
      <c r="J48" s="136"/>
      <c r="M48" s="156"/>
      <c r="N48" s="16"/>
    </row>
    <row r="49" spans="1:14" ht="15.6" customHeight="1" thickBot="1" x14ac:dyDescent="0.35">
      <c r="A49" s="178">
        <v>15</v>
      </c>
      <c r="B49" s="146"/>
      <c r="C49" s="153"/>
      <c r="D49" s="139"/>
      <c r="E49" s="138"/>
      <c r="F49" s="137"/>
      <c r="G49" s="138"/>
      <c r="H49" s="136"/>
      <c r="I49" s="136"/>
      <c r="J49" s="137"/>
      <c r="K49" s="39" t="s">
        <v>105</v>
      </c>
      <c r="L49" s="84"/>
      <c r="M49" s="154"/>
    </row>
    <row r="50" spans="1:14" ht="15.6" customHeight="1" x14ac:dyDescent="0.3">
      <c r="A50" s="18"/>
      <c r="B50" s="18"/>
      <c r="C50" s="18"/>
      <c r="D50" s="18"/>
      <c r="E50" s="17"/>
      <c r="F50" s="16"/>
      <c r="G50" s="17"/>
      <c r="H50" s="16"/>
      <c r="L50" s="18"/>
    </row>
    <row r="51" spans="1:14" ht="15.6" customHeight="1" x14ac:dyDescent="0.3">
      <c r="A51" s="16"/>
      <c r="B51" s="16"/>
      <c r="C51" s="16"/>
      <c r="D51" s="18"/>
      <c r="E51" s="17"/>
      <c r="F51" s="16"/>
      <c r="G51" s="17"/>
      <c r="H51" s="16"/>
      <c r="L51" s="18"/>
    </row>
    <row r="52" spans="1:14" ht="26.1" customHeight="1" x14ac:dyDescent="0.5">
      <c r="A52" s="11" t="s">
        <v>56</v>
      </c>
      <c r="B52" s="11"/>
      <c r="C52" s="11"/>
      <c r="D52" s="16"/>
      <c r="G52" s="28" t="s">
        <v>54</v>
      </c>
      <c r="M52" s="16"/>
      <c r="N52" s="16"/>
    </row>
    <row r="53" spans="1:14" ht="15.6" customHeight="1" x14ac:dyDescent="0.3">
      <c r="M53" s="16"/>
      <c r="N53" s="16"/>
    </row>
    <row r="54" spans="1:14" ht="15.6" customHeight="1" thickBot="1" x14ac:dyDescent="0.35">
      <c r="C54" s="79" t="s">
        <v>62</v>
      </c>
      <c r="D54" s="26"/>
      <c r="E54" s="151"/>
      <c r="M54" s="16"/>
      <c r="N54" s="16"/>
    </row>
    <row r="55" spans="1:14" ht="15.6" customHeight="1" x14ac:dyDescent="0.3">
      <c r="A55" s="16"/>
      <c r="C55" s="45"/>
      <c r="D55" s="86"/>
      <c r="E55" s="47"/>
      <c r="L55" s="18"/>
      <c r="M55" s="16"/>
      <c r="N55" s="16"/>
    </row>
    <row r="56" spans="1:14" ht="15.6" customHeight="1" thickBot="1" x14ac:dyDescent="0.35">
      <c r="D56" s="49">
        <f>IF($J$1=TRUE,D71+1,"")</f>
        <v>17</v>
      </c>
      <c r="E56" s="87"/>
      <c r="F56" s="26"/>
      <c r="G56" s="151"/>
      <c r="H56" s="16"/>
      <c r="I56" s="16"/>
      <c r="J56" s="16"/>
      <c r="K56" s="67" t="s">
        <v>79</v>
      </c>
      <c r="L56" s="53"/>
      <c r="M56" s="151"/>
      <c r="N56" s="18"/>
    </row>
    <row r="57" spans="1:14" ht="15.6" customHeight="1" thickBot="1" x14ac:dyDescent="0.35">
      <c r="A57" s="83" t="s">
        <v>65</v>
      </c>
      <c r="B57" s="26"/>
      <c r="C57" s="151"/>
      <c r="E57" s="82"/>
      <c r="F57" s="18"/>
      <c r="G57" s="19"/>
      <c r="H57" s="16"/>
      <c r="I57" s="16"/>
      <c r="J57" s="16"/>
      <c r="K57" s="17"/>
      <c r="L57" s="16"/>
      <c r="M57" s="57"/>
    </row>
    <row r="58" spans="1:14" ht="15.6" customHeight="1" thickBot="1" x14ac:dyDescent="0.35">
      <c r="A58" s="17"/>
      <c r="B58" s="49">
        <f>IF($J$1=TRUE,D45+1,"")</f>
        <v>13</v>
      </c>
      <c r="C58" s="81"/>
      <c r="D58" s="26"/>
      <c r="E58" s="153"/>
      <c r="F58" s="18"/>
      <c r="G58" s="27"/>
      <c r="H58" s="18"/>
      <c r="I58" s="16"/>
      <c r="J58" s="16"/>
      <c r="K58" s="17"/>
      <c r="L58" s="16"/>
      <c r="M58" s="57"/>
    </row>
    <row r="59" spans="1:14" ht="15.6" customHeight="1" thickBot="1" x14ac:dyDescent="0.35">
      <c r="A59" s="83" t="s">
        <v>63</v>
      </c>
      <c r="B59" s="26"/>
      <c r="C59" s="153"/>
      <c r="F59" s="30">
        <f>IF($J$1=TRUE,F37+1,"")</f>
        <v>22</v>
      </c>
      <c r="G59" s="82"/>
      <c r="H59" s="53"/>
      <c r="I59" s="151"/>
      <c r="J59" s="16"/>
      <c r="K59" s="17"/>
      <c r="L59" s="16"/>
      <c r="M59" s="57"/>
      <c r="N59" s="16"/>
    </row>
    <row r="60" spans="1:14" ht="15.6" customHeight="1" x14ac:dyDescent="0.3">
      <c r="A60" s="17"/>
      <c r="B60" s="79"/>
      <c r="F60" s="30"/>
      <c r="G60" s="158" t="s">
        <v>111</v>
      </c>
      <c r="H60" s="18"/>
      <c r="I60" s="40"/>
      <c r="J60" s="16"/>
      <c r="K60" s="17"/>
      <c r="L60" s="16"/>
      <c r="M60" s="57"/>
      <c r="N60" s="16"/>
    </row>
    <row r="61" spans="1:14" ht="15.6" customHeight="1" thickBot="1" x14ac:dyDescent="0.35">
      <c r="A61" s="17"/>
      <c r="B61" s="17"/>
      <c r="C61" s="17" t="s">
        <v>57</v>
      </c>
      <c r="D61" s="26"/>
      <c r="E61" s="151"/>
      <c r="F61" s="18"/>
      <c r="G61" s="27"/>
      <c r="H61" s="18"/>
      <c r="I61" s="24"/>
      <c r="J61" s="16"/>
      <c r="K61" s="17"/>
      <c r="M61" s="57"/>
      <c r="N61" s="16"/>
    </row>
    <row r="62" spans="1:14" ht="15.6" customHeight="1" x14ac:dyDescent="0.3">
      <c r="A62" s="17"/>
      <c r="B62" s="208"/>
      <c r="C62" s="17"/>
      <c r="D62" s="86"/>
      <c r="E62" s="47"/>
      <c r="F62" s="18"/>
      <c r="G62" s="27"/>
      <c r="H62" s="18"/>
      <c r="I62" s="24"/>
      <c r="J62" s="16"/>
      <c r="K62" s="17"/>
      <c r="L62" s="30"/>
      <c r="M62" s="57"/>
      <c r="N62" s="16"/>
    </row>
    <row r="63" spans="1:14" ht="15.6" customHeight="1" thickBot="1" x14ac:dyDescent="0.35">
      <c r="A63" s="83"/>
      <c r="B63" s="67"/>
      <c r="C63" s="83"/>
      <c r="D63" s="49">
        <f>IF($J$1=TRUE,D56+1,"")</f>
        <v>18</v>
      </c>
      <c r="E63" s="87"/>
      <c r="F63" s="41"/>
      <c r="G63" s="153"/>
      <c r="H63" s="30">
        <f>IF($J$1=TRUE,F74+1,"")</f>
        <v>24</v>
      </c>
      <c r="I63" s="27"/>
      <c r="J63" s="53"/>
      <c r="K63" s="151"/>
      <c r="L63" s="30">
        <f>IF($J$1=TRUE,J71+1,"")</f>
        <v>28</v>
      </c>
      <c r="M63" s="57"/>
      <c r="N63" s="88" t="s">
        <v>106</v>
      </c>
    </row>
    <row r="64" spans="1:14" ht="15.6" customHeight="1" thickBot="1" x14ac:dyDescent="0.35">
      <c r="A64" s="39" t="s">
        <v>64</v>
      </c>
      <c r="B64" s="212"/>
      <c r="C64" s="151"/>
      <c r="E64" s="82"/>
      <c r="F64" s="42"/>
      <c r="G64" s="23"/>
      <c r="H64" s="30"/>
      <c r="I64" s="158" t="s">
        <v>112</v>
      </c>
      <c r="J64" s="18"/>
      <c r="K64" s="40"/>
      <c r="L64" s="30"/>
      <c r="M64" s="158" t="s">
        <v>114</v>
      </c>
      <c r="N64" s="44"/>
    </row>
    <row r="65" spans="1:14" ht="15.6" customHeight="1" thickBot="1" x14ac:dyDescent="0.35">
      <c r="A65" s="44"/>
      <c r="B65" s="209">
        <f>IF($J$1=TRUE,B58+1,"")</f>
        <v>14</v>
      </c>
      <c r="C65" s="211"/>
      <c r="D65" s="26"/>
      <c r="E65" s="153"/>
      <c r="F65" s="16"/>
      <c r="G65" s="17"/>
      <c r="H65" s="18"/>
      <c r="I65" s="27"/>
      <c r="J65" s="16"/>
      <c r="K65" s="27"/>
      <c r="L65" s="16"/>
      <c r="M65" s="57"/>
      <c r="N65" s="16"/>
    </row>
    <row r="66" spans="1:14" ht="15.6" customHeight="1" thickBot="1" x14ac:dyDescent="0.35">
      <c r="A66" s="39" t="s">
        <v>145</v>
      </c>
      <c r="B66" s="212"/>
      <c r="C66" s="153"/>
      <c r="F66" s="16"/>
      <c r="G66" s="17"/>
      <c r="H66" s="18"/>
      <c r="I66" s="27"/>
      <c r="J66" s="16"/>
      <c r="K66" s="27"/>
      <c r="L66" s="16"/>
      <c r="M66" s="57"/>
      <c r="N66" s="16"/>
    </row>
    <row r="67" spans="1:14" ht="15.6" customHeight="1" thickBot="1" x14ac:dyDescent="0.35">
      <c r="A67" s="83"/>
      <c r="B67" s="208"/>
      <c r="C67" s="17"/>
      <c r="F67" s="16"/>
      <c r="G67" s="83" t="s">
        <v>70</v>
      </c>
      <c r="H67" s="41"/>
      <c r="I67" s="153"/>
      <c r="J67" s="16"/>
      <c r="K67" s="27"/>
      <c r="L67" s="16"/>
      <c r="M67" s="57"/>
      <c r="N67" s="16"/>
    </row>
    <row r="68" spans="1:14" ht="15.6" customHeight="1" x14ac:dyDescent="0.3">
      <c r="A68" s="83"/>
      <c r="B68" s="208"/>
      <c r="C68" s="17"/>
      <c r="F68" s="16"/>
      <c r="G68" s="17"/>
      <c r="H68" s="16"/>
      <c r="I68" s="16"/>
      <c r="J68" s="16"/>
      <c r="K68" s="27"/>
      <c r="L68" s="16"/>
      <c r="M68" s="57"/>
      <c r="N68" s="16"/>
    </row>
    <row r="69" spans="1:14" ht="15.6" customHeight="1" thickBot="1" x14ac:dyDescent="0.35">
      <c r="A69" s="83"/>
      <c r="B69" s="79"/>
      <c r="C69" s="67" t="s">
        <v>61</v>
      </c>
      <c r="D69" s="26"/>
      <c r="E69" s="151"/>
      <c r="F69" s="16"/>
      <c r="G69" s="17"/>
      <c r="H69" s="16"/>
      <c r="I69" s="16"/>
      <c r="J69" s="16"/>
      <c r="K69" s="27"/>
      <c r="L69" s="16"/>
      <c r="M69" s="57"/>
      <c r="N69" s="16"/>
    </row>
    <row r="70" spans="1:14" ht="15.6" customHeight="1" x14ac:dyDescent="0.3">
      <c r="A70" s="83"/>
      <c r="B70" s="79"/>
      <c r="C70" s="45"/>
      <c r="D70" s="86"/>
      <c r="E70" s="47"/>
      <c r="F70" s="16"/>
      <c r="G70" s="17"/>
      <c r="H70" s="16"/>
      <c r="I70" s="16"/>
      <c r="J70" s="16"/>
      <c r="K70" s="27"/>
      <c r="L70" s="16"/>
      <c r="M70" s="57"/>
      <c r="N70" s="16"/>
    </row>
    <row r="71" spans="1:14" ht="15.6" customHeight="1" thickBot="1" x14ac:dyDescent="0.35">
      <c r="A71" s="83"/>
      <c r="B71" s="79"/>
      <c r="D71" s="49">
        <f>IF($J$1=TRUE,B80+1,"")</f>
        <v>16</v>
      </c>
      <c r="E71" s="87"/>
      <c r="F71" s="26"/>
      <c r="G71" s="151"/>
      <c r="H71" s="16"/>
      <c r="I71" s="16"/>
      <c r="J71" s="30">
        <f>IF($J$1=TRUE,H31+1,"")</f>
        <v>27</v>
      </c>
      <c r="K71" s="27"/>
      <c r="L71" s="53"/>
      <c r="M71" s="153"/>
      <c r="N71" s="16"/>
    </row>
    <row r="72" spans="1:14" ht="15.6" customHeight="1" x14ac:dyDescent="0.3">
      <c r="A72" s="83"/>
      <c r="B72" s="79"/>
      <c r="E72" s="82"/>
      <c r="F72" s="18"/>
      <c r="G72" s="19"/>
      <c r="H72" s="16"/>
      <c r="I72" s="16"/>
      <c r="J72" s="16"/>
      <c r="K72" s="158" t="s">
        <v>113</v>
      </c>
      <c r="N72" s="16"/>
    </row>
    <row r="73" spans="1:14" ht="15.6" customHeight="1" thickBot="1" x14ac:dyDescent="0.35">
      <c r="A73" s="83"/>
      <c r="B73" s="79"/>
      <c r="C73" s="67" t="s">
        <v>107</v>
      </c>
      <c r="D73" s="26"/>
      <c r="E73" s="153"/>
      <c r="F73" s="18"/>
      <c r="G73" s="24"/>
      <c r="H73" s="16"/>
      <c r="I73" s="16"/>
      <c r="J73" s="16"/>
      <c r="K73" s="27"/>
      <c r="N73" s="16"/>
    </row>
    <row r="74" spans="1:14" ht="15.6" customHeight="1" thickBot="1" x14ac:dyDescent="0.35">
      <c r="A74" s="83"/>
      <c r="B74" s="79"/>
      <c r="F74" s="30">
        <f>IF($J$1=TRUE,F59+1,"")</f>
        <v>23</v>
      </c>
      <c r="G74" s="27"/>
      <c r="H74" s="26"/>
      <c r="I74" s="151"/>
      <c r="J74" s="16"/>
      <c r="K74" s="27"/>
      <c r="N74" s="16"/>
    </row>
    <row r="75" spans="1:14" ht="15.6" customHeight="1" x14ac:dyDescent="0.3">
      <c r="A75" s="83"/>
      <c r="B75" s="79"/>
      <c r="F75" s="18"/>
      <c r="G75" s="158" t="s">
        <v>111</v>
      </c>
      <c r="H75" s="18"/>
      <c r="I75" s="19"/>
      <c r="J75" s="16"/>
      <c r="K75" s="27"/>
      <c r="N75" s="16"/>
    </row>
    <row r="76" spans="1:14" ht="15.6" customHeight="1" thickBot="1" x14ac:dyDescent="0.35">
      <c r="A76" s="83"/>
      <c r="B76" s="208"/>
      <c r="C76" s="17" t="s">
        <v>78</v>
      </c>
      <c r="D76" s="26"/>
      <c r="E76" s="151"/>
      <c r="F76" s="18"/>
      <c r="G76" s="27"/>
      <c r="H76" s="18"/>
      <c r="I76" s="24"/>
      <c r="J76" s="16"/>
      <c r="K76" s="27"/>
      <c r="N76" s="16"/>
    </row>
    <row r="77" spans="1:14" ht="15.6" customHeight="1" x14ac:dyDescent="0.3">
      <c r="A77" s="83"/>
      <c r="B77" s="17"/>
      <c r="C77" s="17"/>
      <c r="D77" s="86"/>
      <c r="E77" s="47"/>
      <c r="F77" s="18"/>
      <c r="G77" s="27"/>
      <c r="H77" s="18"/>
      <c r="I77" s="24"/>
      <c r="J77" s="16"/>
      <c r="K77" s="27"/>
      <c r="N77" s="16"/>
    </row>
    <row r="78" spans="1:14" ht="15.6" customHeight="1" thickBot="1" x14ac:dyDescent="0.35">
      <c r="A78" s="83"/>
      <c r="B78" s="83"/>
      <c r="C78" s="83"/>
      <c r="D78" s="49">
        <f>IF($J$1=TRUE,D63+1,"")</f>
        <v>19</v>
      </c>
      <c r="E78" s="87"/>
      <c r="F78" s="41"/>
      <c r="G78" s="153"/>
      <c r="H78" s="30">
        <f>IF($J$1=TRUE,H63+1,"")</f>
        <v>25</v>
      </c>
      <c r="I78" s="27"/>
      <c r="J78" s="53"/>
      <c r="K78" s="153"/>
      <c r="N78" s="16"/>
    </row>
    <row r="79" spans="1:14" ht="15.6" customHeight="1" thickBot="1" x14ac:dyDescent="0.35">
      <c r="A79" s="83" t="s">
        <v>60</v>
      </c>
      <c r="B79" s="26"/>
      <c r="C79" s="151"/>
      <c r="D79" s="89" t="s">
        <v>6</v>
      </c>
      <c r="E79" s="82"/>
      <c r="F79" s="16"/>
      <c r="G79" s="17"/>
      <c r="H79" s="18"/>
      <c r="I79" s="158" t="s">
        <v>112</v>
      </c>
      <c r="N79" s="16"/>
    </row>
    <row r="80" spans="1:14" ht="15.6" customHeight="1" thickBot="1" x14ac:dyDescent="0.35">
      <c r="A80" s="83"/>
      <c r="B80" s="49">
        <f>IF($J$1=TRUE,B65+1,"")</f>
        <v>15</v>
      </c>
      <c r="C80" s="81"/>
      <c r="D80" s="26"/>
      <c r="E80" s="153"/>
      <c r="F80" s="16"/>
      <c r="G80" s="17"/>
      <c r="H80" s="18"/>
      <c r="I80" s="27"/>
      <c r="N80" s="16"/>
    </row>
    <row r="81" spans="1:14" ht="15.6" customHeight="1" thickBot="1" x14ac:dyDescent="0.35">
      <c r="A81" s="83" t="s">
        <v>59</v>
      </c>
      <c r="B81" s="26"/>
      <c r="C81" s="153"/>
      <c r="F81" s="16"/>
      <c r="I81" s="24"/>
      <c r="J81" s="16"/>
      <c r="K81" s="17"/>
      <c r="N81" s="16"/>
    </row>
    <row r="82" spans="1:14" ht="15.6" customHeight="1" thickBot="1" x14ac:dyDescent="0.35">
      <c r="A82" s="17"/>
      <c r="B82" s="17"/>
      <c r="C82" s="17"/>
      <c r="F82" s="16"/>
      <c r="G82" s="83" t="s">
        <v>69</v>
      </c>
      <c r="H82" s="41"/>
      <c r="I82" s="153"/>
      <c r="J82" s="16"/>
      <c r="K82" s="17"/>
      <c r="N82" s="16"/>
    </row>
    <row r="83" spans="1:14" ht="15.6" customHeight="1" x14ac:dyDescent="0.3">
      <c r="A83" s="17"/>
      <c r="B83" s="17"/>
      <c r="C83" s="17"/>
      <c r="D83" s="16"/>
      <c r="E83" s="17"/>
      <c r="F83" s="16"/>
      <c r="G83" s="16"/>
      <c r="H83" s="16"/>
      <c r="I83" s="17"/>
      <c r="L83" s="16"/>
      <c r="M83" s="16"/>
      <c r="N83" s="16"/>
    </row>
    <row r="84" spans="1:14" ht="15.6" customHeight="1" x14ac:dyDescent="0.3">
      <c r="A84" s="17"/>
      <c r="B84" s="17"/>
      <c r="C84" s="17"/>
      <c r="D84" s="16"/>
      <c r="E84" s="17"/>
      <c r="F84" s="16"/>
      <c r="G84" s="16"/>
      <c r="H84" s="16"/>
      <c r="I84" s="17"/>
      <c r="J84" s="16"/>
      <c r="K84" s="17"/>
      <c r="L84" s="16"/>
      <c r="M84" s="16"/>
      <c r="N84" s="16"/>
    </row>
    <row r="85" spans="1:14" ht="15.6" customHeight="1" x14ac:dyDescent="0.3">
      <c r="H85" s="16"/>
      <c r="I85" s="17"/>
      <c r="J85" s="16"/>
      <c r="K85" s="17"/>
      <c r="L85" s="16"/>
      <c r="M85" s="16"/>
      <c r="N85" s="16"/>
    </row>
    <row r="86" spans="1:14" ht="15.6" customHeight="1" x14ac:dyDescent="0.3">
      <c r="A86" s="16"/>
      <c r="B86" s="16"/>
      <c r="C86" s="16"/>
      <c r="D86" s="16"/>
      <c r="E86" s="17"/>
      <c r="F86" s="16"/>
      <c r="G86" s="17"/>
      <c r="H86" s="16"/>
      <c r="I86" s="16"/>
      <c r="J86" s="16"/>
      <c r="K86" s="17"/>
      <c r="L86" s="16"/>
      <c r="M86" s="16"/>
      <c r="N86" s="16"/>
    </row>
    <row r="87" spans="1:14" ht="15.6" customHeight="1" x14ac:dyDescent="0.3">
      <c r="A87" s="16"/>
      <c r="B87" s="16"/>
      <c r="C87" s="16"/>
      <c r="D87" s="16"/>
      <c r="E87" s="17"/>
      <c r="F87" s="16"/>
      <c r="G87" s="17"/>
      <c r="H87" s="16"/>
      <c r="I87" s="16"/>
      <c r="J87" s="16"/>
      <c r="K87" s="17"/>
      <c r="L87" s="16"/>
      <c r="M87" s="16"/>
      <c r="N87" s="16"/>
    </row>
    <row r="88" spans="1:14" ht="15.6" customHeight="1" x14ac:dyDescent="0.3">
      <c r="A88" s="16"/>
      <c r="B88" s="16"/>
      <c r="C88" s="16"/>
      <c r="D88" s="16"/>
      <c r="E88" s="17"/>
      <c r="F88" s="16"/>
      <c r="G88" s="17"/>
      <c r="H88" s="16"/>
      <c r="I88" s="16"/>
      <c r="J88" s="16"/>
      <c r="K88" s="17"/>
      <c r="L88" s="16"/>
      <c r="M88" s="16"/>
      <c r="N88" s="16"/>
    </row>
    <row r="89" spans="1:14" ht="15.6" customHeight="1" x14ac:dyDescent="0.3">
      <c r="A89" s="16"/>
      <c r="B89" s="16"/>
      <c r="C89" s="16"/>
      <c r="D89" s="16"/>
      <c r="E89" s="17"/>
      <c r="F89" s="16"/>
      <c r="G89" s="17"/>
      <c r="H89" s="16"/>
      <c r="I89" s="16"/>
      <c r="J89" s="16"/>
      <c r="K89" s="17"/>
      <c r="L89" s="16"/>
      <c r="M89" s="16"/>
      <c r="N89" s="16"/>
    </row>
    <row r="90" spans="1:14" ht="15.6" customHeight="1" x14ac:dyDescent="0.3">
      <c r="A90" s="16"/>
      <c r="B90" s="16"/>
      <c r="C90" s="16"/>
      <c r="D90" s="16"/>
      <c r="E90" s="17"/>
      <c r="F90" s="16"/>
      <c r="G90" s="17"/>
      <c r="H90" s="16"/>
      <c r="I90" s="16"/>
      <c r="J90" s="16"/>
      <c r="K90" s="17"/>
      <c r="L90" s="16"/>
      <c r="M90" s="16"/>
      <c r="N90" s="16"/>
    </row>
  </sheetData>
  <mergeCells count="6">
    <mergeCell ref="A2:D2"/>
    <mergeCell ref="P36:R36"/>
    <mergeCell ref="V36:W36"/>
    <mergeCell ref="P37:R37"/>
    <mergeCell ref="V37:W37"/>
    <mergeCell ref="Q10:V12"/>
  </mergeCells>
  <dataValidations count="3">
    <dataValidation type="list" allowBlank="1" showInputMessage="1" showErrorMessage="1" sqref="N25" xr:uid="{436B5C9D-F93B-4FF5-8FEF-35AC42A72923}">
      <formula1>$L$23:$L$27</formula1>
    </dataValidation>
    <dataValidation type="list" allowBlank="1" showInputMessage="1" showErrorMessage="1" sqref="N18 L15" xr:uid="{F80FC398-7ED8-4346-9F9D-68A1EE649A09}">
      <formula1>J12:J17</formula1>
    </dataValidation>
    <dataValidation type="list" allowBlank="1" showInputMessage="1" showErrorMessage="1" sqref="D9 N13 N10 L27 L23 V36:W36 P36:R36 B49 B47 B43 B41 B38 B36 B32 B30 B27 B25 B21 B19 B16" xr:uid="{E6DEE742-01A1-4E12-B502-87035475F58E}">
      <formula1>$C$4:$C$19</formula1>
    </dataValidation>
  </dataValidations>
  <hyperlinks>
    <hyperlink ref="H2" location="Instructions!A1" display="Instructions" xr:uid="{00000000-0004-0000-0100-000000000000}"/>
    <hyperlink ref="A2" r:id="rId1" display="Tournament Bracket Template by Vertex42.com" xr:uid="{00000000-0004-0000-0100-000001000000}"/>
    <hyperlink ref="Q10" location="Scoreboard!A1" display="Return to Scoreboard" xr:uid="{00000000-0004-0000-0100-000002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32EDF233-7C18-43E4-84CB-AABDD730233E}">
          <x14:formula1>
            <xm:f>Scoreboard!$C$4:$C$19</xm:f>
          </x14:formula1>
          <xm:sqref>B14 B8 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E51C-4386-4EE4-B542-9BD3F94F1F48}">
  <sheetPr codeName="Sheet3"/>
  <dimension ref="B1:W86"/>
  <sheetViews>
    <sheetView showGridLines="0" showRowColHeaders="0" showZeros="0" topLeftCell="A3" zoomScale="78" zoomScaleNormal="78" workbookViewId="0">
      <selection activeCell="Q7" sqref="Q7:T9"/>
    </sheetView>
  </sheetViews>
  <sheetFormatPr defaultColWidth="8.5546875" defaultRowHeight="14.4" x14ac:dyDescent="0.3"/>
  <cols>
    <col min="1" max="1" width="8.5546875" style="66"/>
    <col min="2" max="2" width="3.44140625" style="66" customWidth="1"/>
    <col min="3" max="3" width="20" style="66" customWidth="1"/>
    <col min="4" max="4" width="4.5546875" style="66" customWidth="1"/>
    <col min="5" max="5" width="21.109375" style="66" customWidth="1"/>
    <col min="6" max="6" width="4.44140625" style="66" customWidth="1"/>
    <col min="7" max="7" width="21.109375" style="66" customWidth="1"/>
    <col min="8" max="8" width="4.44140625" style="66" customWidth="1"/>
    <col min="9" max="9" width="21.109375" style="66" customWidth="1"/>
    <col min="10" max="10" width="4.44140625" style="66" customWidth="1"/>
    <col min="11" max="11" width="21.109375" style="66" customWidth="1"/>
    <col min="12" max="12" width="4.44140625" style="66" customWidth="1"/>
    <col min="13" max="13" width="21.109375" style="66" customWidth="1"/>
    <col min="14" max="14" width="4.44140625" style="66" customWidth="1"/>
    <col min="15" max="15" width="22.109375" style="66" customWidth="1"/>
    <col min="16" max="16" width="8.5546875" style="66"/>
    <col min="17" max="17" width="10.77734375" style="66" customWidth="1"/>
    <col min="18" max="18" width="14.21875" style="66" customWidth="1"/>
    <col min="19" max="19" width="3" style="66" customWidth="1"/>
    <col min="20" max="20" width="17.6640625" style="66" customWidth="1"/>
    <col min="21" max="21" width="19.5546875" style="66" customWidth="1"/>
    <col min="22" max="23" width="0" style="66" hidden="1" customWidth="1"/>
    <col min="24" max="16384" width="8.5546875" style="66"/>
  </cols>
  <sheetData>
    <row r="1" spans="2:20" ht="24" hidden="1" customHeight="1" x14ac:dyDescent="0.3">
      <c r="B1" s="131" t="s">
        <v>166</v>
      </c>
      <c r="C1" s="131"/>
      <c r="D1" s="131"/>
      <c r="E1" s="132"/>
      <c r="F1" s="78"/>
      <c r="G1" s="132"/>
      <c r="H1" s="78"/>
      <c r="I1" s="132"/>
      <c r="J1" s="132"/>
      <c r="K1" s="133" t="b">
        <v>1</v>
      </c>
      <c r="L1" s="78"/>
      <c r="M1" s="132"/>
      <c r="N1" s="132"/>
      <c r="O1" s="132"/>
    </row>
    <row r="2" spans="2:20" ht="15" hidden="1" x14ac:dyDescent="0.3">
      <c r="B2" s="328" t="s">
        <v>167</v>
      </c>
      <c r="C2" s="328"/>
      <c r="D2" s="328"/>
      <c r="E2" s="328"/>
      <c r="F2" s="17"/>
      <c r="G2" s="16"/>
      <c r="H2" s="17"/>
      <c r="I2" s="134" t="s">
        <v>168</v>
      </c>
      <c r="J2" s="16"/>
      <c r="K2" s="133" t="b">
        <v>1</v>
      </c>
      <c r="L2" s="17"/>
      <c r="M2" s="132"/>
      <c r="N2" s="16"/>
      <c r="O2" s="135" t="str">
        <f ca="1">"© 2012-" &amp; YEAR(TODAY()) &amp; " Vertex42 LLC"</f>
        <v>© 2012-2022 Vertex42 LLC</v>
      </c>
    </row>
    <row r="3" spans="2:20" ht="7.2" customHeight="1" x14ac:dyDescent="0.3">
      <c r="K3" s="14"/>
    </row>
    <row r="4" spans="2:20" ht="16.350000000000001" thickBot="1" x14ac:dyDescent="0.35">
      <c r="B4" s="16">
        <f>IF($K$2=TRUE,1,"")</f>
        <v>1</v>
      </c>
      <c r="C4" s="15" t="s">
        <v>198</v>
      </c>
      <c r="D4" s="269"/>
      <c r="K4" s="274"/>
    </row>
    <row r="5" spans="2:20" ht="16.350000000000001" thickBot="1" x14ac:dyDescent="0.35">
      <c r="B5" s="79"/>
      <c r="C5" s="49">
        <f>IF($K$1=TRUE,0+1,"")</f>
        <v>1</v>
      </c>
      <c r="D5" s="81"/>
      <c r="E5" s="26" t="s">
        <v>198</v>
      </c>
      <c r="F5" s="269"/>
      <c r="G5" s="16"/>
      <c r="H5" s="17"/>
      <c r="I5" s="16"/>
      <c r="J5" s="16"/>
      <c r="K5" s="236"/>
      <c r="L5" s="17"/>
      <c r="M5" s="16"/>
      <c r="N5" s="16"/>
      <c r="O5" s="16"/>
    </row>
    <row r="6" spans="2:20" ht="16.350000000000001" thickBot="1" x14ac:dyDescent="0.35">
      <c r="B6" s="16">
        <f>IF($K$2=TRUE,16,"")</f>
        <v>16</v>
      </c>
      <c r="C6" s="15" t="s">
        <v>219</v>
      </c>
      <c r="D6" s="270"/>
      <c r="E6" s="18"/>
      <c r="F6" s="19"/>
      <c r="G6" s="16"/>
      <c r="H6" s="17"/>
      <c r="I6" s="16"/>
      <c r="J6" s="16"/>
      <c r="K6" s="236"/>
      <c r="L6" s="17"/>
      <c r="M6" s="16"/>
      <c r="N6" s="16"/>
      <c r="O6" s="16"/>
    </row>
    <row r="7" spans="2:20" ht="21.6" thickBot="1" x14ac:dyDescent="0.45">
      <c r="B7" s="16"/>
      <c r="C7" s="16"/>
      <c r="D7" s="16"/>
      <c r="E7" s="18"/>
      <c r="F7" s="20"/>
      <c r="G7" s="16"/>
      <c r="H7" s="17"/>
      <c r="I7" s="16"/>
      <c r="J7" s="16"/>
      <c r="K7" s="236"/>
      <c r="L7" s="17"/>
      <c r="M7" s="16"/>
      <c r="N7" s="16" t="s">
        <v>176</v>
      </c>
      <c r="O7" s="80" t="s">
        <v>180</v>
      </c>
      <c r="Q7" s="332" t="s">
        <v>68</v>
      </c>
      <c r="R7" s="332"/>
      <c r="S7" s="332"/>
      <c r="T7" s="332"/>
    </row>
    <row r="8" spans="2:20" ht="18" thickBot="1" x14ac:dyDescent="0.35">
      <c r="B8" s="16"/>
      <c r="C8" s="16"/>
      <c r="D8" s="16"/>
      <c r="E8" s="22">
        <f>IF($K$1=TRUE,$C$76+1,"")</f>
        <v>13</v>
      </c>
      <c r="G8" s="224" t="s">
        <v>198</v>
      </c>
      <c r="H8" s="269"/>
      <c r="I8" s="16"/>
      <c r="J8" s="16"/>
      <c r="K8" s="236"/>
      <c r="L8" s="17"/>
      <c r="M8" s="16"/>
      <c r="N8" s="16"/>
      <c r="O8" s="58" t="s">
        <v>13</v>
      </c>
      <c r="Q8" s="332"/>
      <c r="R8" s="332"/>
      <c r="S8" s="332"/>
      <c r="T8" s="332"/>
    </row>
    <row r="9" spans="2:20" x14ac:dyDescent="0.3">
      <c r="B9" s="16"/>
      <c r="C9" s="16"/>
      <c r="D9" s="16"/>
      <c r="E9" s="23"/>
      <c r="F9" s="20"/>
      <c r="G9" s="16"/>
      <c r="H9" s="24"/>
      <c r="I9" s="16"/>
      <c r="J9" s="16"/>
      <c r="K9" s="236"/>
      <c r="L9" s="17"/>
      <c r="M9" s="16"/>
      <c r="N9" s="18"/>
      <c r="O9" s="18"/>
      <c r="Q9" s="332"/>
      <c r="R9" s="332"/>
      <c r="S9" s="332"/>
      <c r="T9" s="332"/>
    </row>
    <row r="10" spans="2:20" ht="21.9" thickBot="1" x14ac:dyDescent="0.45">
      <c r="B10" s="16">
        <f>IF($K$2=TRUE,8,"")</f>
        <v>8</v>
      </c>
      <c r="C10" s="15" t="s">
        <v>217</v>
      </c>
      <c r="D10" s="269"/>
      <c r="E10" s="23"/>
      <c r="F10" s="20"/>
      <c r="G10" s="16"/>
      <c r="H10" s="24"/>
      <c r="I10" s="16"/>
      <c r="J10" s="16"/>
      <c r="K10" s="236"/>
      <c r="L10" s="17"/>
      <c r="M10" s="16"/>
      <c r="N10" s="16" t="s">
        <v>177</v>
      </c>
      <c r="O10" s="80" t="s">
        <v>25</v>
      </c>
    </row>
    <row r="11" spans="2:20" ht="18.149999999999999" thickBot="1" x14ac:dyDescent="0.35">
      <c r="B11" s="79"/>
      <c r="C11" s="49">
        <f>IF($K$1=TRUE,C5+1,"")</f>
        <v>2</v>
      </c>
      <c r="D11" s="81"/>
      <c r="E11" s="26" t="s">
        <v>217</v>
      </c>
      <c r="F11" s="270"/>
      <c r="G11" s="16"/>
      <c r="H11" s="27"/>
      <c r="I11" s="16"/>
      <c r="J11" s="16"/>
      <c r="K11" s="236"/>
      <c r="L11" s="44"/>
      <c r="M11" s="16"/>
      <c r="N11" s="16"/>
      <c r="O11" s="262" t="s">
        <v>14</v>
      </c>
    </row>
    <row r="12" spans="2:20" ht="21.3" thickBot="1" x14ac:dyDescent="0.4">
      <c r="B12" s="16">
        <f>IF($K$2=TRUE,9,"")</f>
        <v>9</v>
      </c>
      <c r="C12" s="15" t="s">
        <v>221</v>
      </c>
      <c r="D12" s="270"/>
      <c r="E12" s="225"/>
      <c r="F12" s="225"/>
      <c r="H12" s="27"/>
      <c r="I12" s="16"/>
      <c r="K12" s="238"/>
      <c r="L12" s="44" t="s">
        <v>79</v>
      </c>
      <c r="M12" s="264" t="s">
        <v>163</v>
      </c>
      <c r="N12" s="53"/>
      <c r="O12" s="16"/>
    </row>
    <row r="13" spans="2:20" ht="15.6" x14ac:dyDescent="0.3">
      <c r="B13" s="16"/>
      <c r="C13" s="29"/>
      <c r="D13" s="16"/>
      <c r="E13" s="23"/>
      <c r="F13" s="23"/>
      <c r="H13" s="27"/>
      <c r="I13" s="16"/>
      <c r="K13" s="238"/>
      <c r="L13" s="17"/>
      <c r="M13" s="16"/>
      <c r="N13" s="54"/>
      <c r="O13" s="16"/>
    </row>
    <row r="14" spans="2:20" ht="15.6" x14ac:dyDescent="0.3">
      <c r="B14" s="16"/>
      <c r="C14" s="29"/>
      <c r="D14" s="16"/>
      <c r="E14" s="23"/>
      <c r="F14" s="23"/>
      <c r="H14" s="27"/>
      <c r="I14" s="16"/>
      <c r="K14" s="238"/>
      <c r="M14" s="16"/>
      <c r="N14" s="56" t="s">
        <v>54</v>
      </c>
      <c r="O14" s="16"/>
    </row>
    <row r="15" spans="2:20" ht="21.3" thickBot="1" x14ac:dyDescent="0.4">
      <c r="B15" s="16">
        <f>IF($K$2=TRUE,5,"")</f>
        <v>5</v>
      </c>
      <c r="C15" s="15" t="s">
        <v>242</v>
      </c>
      <c r="D15" s="269"/>
      <c r="E15" s="23"/>
      <c r="F15" s="23"/>
      <c r="H15" s="27"/>
      <c r="I15" s="16"/>
      <c r="K15" s="238"/>
      <c r="M15" s="16"/>
      <c r="N15" s="57"/>
      <c r="O15" s="76" t="s">
        <v>220</v>
      </c>
    </row>
    <row r="16" spans="2:20" ht="18.149999999999999" thickBot="1" x14ac:dyDescent="0.35">
      <c r="B16" s="79"/>
      <c r="C16" s="49">
        <f>IF($K$1=TRUE,C11+1,"")</f>
        <v>3</v>
      </c>
      <c r="D16" s="81"/>
      <c r="E16" s="26" t="s">
        <v>242</v>
      </c>
      <c r="F16" s="271"/>
      <c r="G16" s="30">
        <f>IF($K$1=TRUE,E74+1,"")</f>
        <v>21</v>
      </c>
      <c r="I16" s="31" t="s">
        <v>245</v>
      </c>
      <c r="J16" s="269"/>
      <c r="K16" s="16"/>
      <c r="M16" s="16"/>
      <c r="N16" s="57"/>
      <c r="O16" s="58" t="s">
        <v>15</v>
      </c>
    </row>
    <row r="17" spans="2:23" ht="21.9" thickBot="1" x14ac:dyDescent="0.45">
      <c r="B17" s="16">
        <f>IF($K$2=TRUE,12,"")</f>
        <v>12</v>
      </c>
      <c r="C17" s="15" t="s">
        <v>215</v>
      </c>
      <c r="D17" s="270"/>
      <c r="E17" s="18"/>
      <c r="F17" s="19"/>
      <c r="G17" s="16"/>
      <c r="H17" s="27"/>
      <c r="I17" s="16"/>
      <c r="J17" s="27"/>
      <c r="K17" s="16"/>
      <c r="L17" s="17" t="s">
        <v>109</v>
      </c>
      <c r="M17" s="80" t="s">
        <v>220</v>
      </c>
      <c r="N17" s="55"/>
    </row>
    <row r="18" spans="2:23" ht="15.6" thickBot="1" x14ac:dyDescent="0.35">
      <c r="B18" s="16"/>
      <c r="C18" s="16"/>
      <c r="D18" s="16"/>
      <c r="E18" s="23"/>
      <c r="F18" s="20"/>
      <c r="G18" s="16"/>
      <c r="H18" s="27"/>
      <c r="I18" s="16"/>
      <c r="J18" s="27"/>
      <c r="K18" s="16"/>
      <c r="M18" s="16"/>
      <c r="N18" s="16"/>
      <c r="O18" s="121" t="str">
        <f>IF(O15=M12,M17,IF(O15=M17,M12,""))</f>
        <v>Mitch &amp; Katelyn</v>
      </c>
      <c r="V18" s="275" t="str">
        <f>P29</f>
        <v>Chris &amp; Shelby</v>
      </c>
      <c r="W18" s="275">
        <v>10</v>
      </c>
    </row>
    <row r="19" spans="2:23" ht="18.149999999999999" thickBot="1" x14ac:dyDescent="0.35">
      <c r="B19" s="16"/>
      <c r="C19" s="16"/>
      <c r="D19" s="16"/>
      <c r="E19" s="30">
        <f>IF($K$1=TRUE,E8+1,"")</f>
        <v>14</v>
      </c>
      <c r="G19" s="224" t="s">
        <v>220</v>
      </c>
      <c r="H19" s="270"/>
      <c r="I19" s="16"/>
      <c r="J19" s="27"/>
      <c r="K19" s="16"/>
      <c r="M19" s="16"/>
      <c r="N19" s="16"/>
      <c r="O19" s="58" t="s">
        <v>16</v>
      </c>
      <c r="V19" s="275" t="str">
        <f>T29</f>
        <v>Ty &amp; Angela</v>
      </c>
      <c r="W19" s="275">
        <v>8</v>
      </c>
    </row>
    <row r="20" spans="2:23" ht="21.9" thickBot="1" x14ac:dyDescent="0.45">
      <c r="B20" s="16"/>
      <c r="C20" s="16"/>
      <c r="D20" s="16"/>
      <c r="E20" s="23"/>
      <c r="F20" s="20"/>
      <c r="G20" s="16"/>
      <c r="H20" s="17"/>
      <c r="I20" s="16"/>
      <c r="J20" s="27"/>
      <c r="K20" s="16"/>
      <c r="L20" s="67" t="s">
        <v>75</v>
      </c>
      <c r="M20" s="80" t="s">
        <v>197</v>
      </c>
      <c r="N20" s="53"/>
      <c r="O20" s="16"/>
      <c r="V20" s="275" t="str">
        <f>O7</f>
        <v>Austin &amp; Shannon</v>
      </c>
      <c r="W20" s="275">
        <v>6</v>
      </c>
    </row>
    <row r="21" spans="2:23" ht="16.350000000000001" thickBot="1" x14ac:dyDescent="0.35">
      <c r="B21" s="16">
        <f>IF($K$2=TRUE,4,"")</f>
        <v>4</v>
      </c>
      <c r="C21" s="15" t="s">
        <v>220</v>
      </c>
      <c r="D21" s="269"/>
      <c r="E21" s="23"/>
      <c r="F21" s="20"/>
      <c r="G21" s="16"/>
      <c r="H21" s="17"/>
      <c r="I21" s="16"/>
      <c r="J21" s="27"/>
      <c r="K21" s="16"/>
      <c r="M21" s="16"/>
      <c r="N21" s="54"/>
      <c r="O21" s="16"/>
      <c r="V21" s="275" t="str">
        <f>O10</f>
        <v>Avery &amp; Kayla</v>
      </c>
      <c r="W21" s="275">
        <v>5</v>
      </c>
    </row>
    <row r="22" spans="2:23" ht="21.3" thickBot="1" x14ac:dyDescent="0.4">
      <c r="B22" s="79"/>
      <c r="C22" s="49">
        <f>IF($K$1=TRUE,C16+1,"")</f>
        <v>4</v>
      </c>
      <c r="D22" s="81"/>
      <c r="E22" s="26" t="s">
        <v>220</v>
      </c>
      <c r="F22" s="270"/>
      <c r="G22" s="16"/>
      <c r="H22" s="17"/>
      <c r="J22" s="27"/>
      <c r="K22" s="16"/>
      <c r="M22" s="16"/>
      <c r="N22" s="57"/>
      <c r="O22" s="76" t="s">
        <v>197</v>
      </c>
      <c r="V22" s="275" t="str">
        <f>O15</f>
        <v>Rhett &amp; Haylee</v>
      </c>
      <c r="W22" s="275">
        <v>4</v>
      </c>
    </row>
    <row r="23" spans="2:23" ht="18.149999999999999" thickBot="1" x14ac:dyDescent="0.35">
      <c r="B23" s="16">
        <f>IF($K$2=TRUE,13,"")</f>
        <v>13</v>
      </c>
      <c r="C23" s="15" t="s">
        <v>180</v>
      </c>
      <c r="D23" s="270"/>
      <c r="E23" s="225"/>
      <c r="F23" s="225"/>
      <c r="G23" s="30"/>
      <c r="H23" s="17"/>
      <c r="J23" s="27"/>
      <c r="K23" s="16"/>
      <c r="M23" s="16"/>
      <c r="N23" s="57"/>
      <c r="O23" s="58" t="s">
        <v>17</v>
      </c>
      <c r="V23" s="275" t="str">
        <f>O18</f>
        <v>Mitch &amp; Katelyn</v>
      </c>
      <c r="W23" s="275">
        <v>3</v>
      </c>
    </row>
    <row r="24" spans="2:23" ht="21.9" thickBot="1" x14ac:dyDescent="0.45">
      <c r="B24" s="16"/>
      <c r="C24" s="29"/>
      <c r="D24" s="16"/>
      <c r="E24" s="23"/>
      <c r="F24" s="23"/>
      <c r="G24" s="30"/>
      <c r="H24" s="17"/>
      <c r="J24" s="27"/>
      <c r="K24" s="16"/>
      <c r="L24" s="67" t="s">
        <v>80</v>
      </c>
      <c r="M24" s="80" t="s">
        <v>217</v>
      </c>
      <c r="N24" s="55"/>
      <c r="O24" s="16"/>
      <c r="V24" s="275" t="str">
        <f>O22</f>
        <v>Blake &amp; Kirsten</v>
      </c>
      <c r="W24" s="275">
        <v>2</v>
      </c>
    </row>
    <row r="25" spans="2:23" ht="16.350000000000001" thickBot="1" x14ac:dyDescent="0.35">
      <c r="B25" s="16"/>
      <c r="C25" s="29"/>
      <c r="D25" s="16"/>
      <c r="E25" s="23"/>
      <c r="F25" s="23"/>
      <c r="G25" s="30"/>
      <c r="H25" s="17"/>
      <c r="J25" s="27"/>
      <c r="K25" s="16"/>
      <c r="M25" s="16"/>
      <c r="N25" s="16"/>
      <c r="O25" s="121" t="str">
        <f>IF(O22=M20,M24,IF(O22=M24,M20,""))</f>
        <v>Jon &amp; Kendra</v>
      </c>
      <c r="V25" s="275" t="str">
        <f>O25</f>
        <v>Jon &amp; Kendra</v>
      </c>
      <c r="W25" s="275">
        <v>1</v>
      </c>
    </row>
    <row r="26" spans="2:23" ht="18.149999999999999" thickBot="1" x14ac:dyDescent="0.35">
      <c r="B26" s="16">
        <f>IF($K$2=TRUE,3,"")</f>
        <v>3</v>
      </c>
      <c r="C26" s="15" t="s">
        <v>25</v>
      </c>
      <c r="D26" s="269"/>
      <c r="E26" s="23"/>
      <c r="F26" s="23"/>
      <c r="G26" s="30"/>
      <c r="H26" s="17"/>
      <c r="J26" s="27"/>
      <c r="K26" s="16"/>
      <c r="M26" s="16"/>
      <c r="N26" s="16"/>
      <c r="O26" s="58" t="s">
        <v>18</v>
      </c>
    </row>
    <row r="27" spans="2:23" ht="16.350000000000001" thickBot="1" x14ac:dyDescent="0.35">
      <c r="B27" s="79"/>
      <c r="C27" s="49">
        <f>IF($K$1=TRUE,C22+1,"")</f>
        <v>5</v>
      </c>
      <c r="D27" s="81"/>
      <c r="E27" s="26" t="s">
        <v>25</v>
      </c>
      <c r="F27" s="269"/>
      <c r="G27" s="16"/>
      <c r="H27" s="17"/>
      <c r="I27" s="30">
        <f>IF($K$1=TRUE,I74+1,"")</f>
        <v>27</v>
      </c>
      <c r="J27" s="27"/>
      <c r="K27" s="31" t="s">
        <v>35</v>
      </c>
      <c r="L27" s="269"/>
      <c r="O27" s="16"/>
    </row>
    <row r="28" spans="2:23" ht="16.350000000000001" thickBot="1" x14ac:dyDescent="0.35">
      <c r="B28" s="16">
        <f>IF($K$2=TRUE,14,"")</f>
        <v>14</v>
      </c>
      <c r="C28" s="15" t="s">
        <v>132</v>
      </c>
      <c r="D28" s="270"/>
      <c r="E28" s="18"/>
      <c r="F28" s="27"/>
      <c r="G28" s="16"/>
      <c r="H28" s="17"/>
      <c r="I28" s="16"/>
      <c r="J28" s="27"/>
      <c r="K28" s="16"/>
      <c r="L28" s="27"/>
      <c r="M28" s="16"/>
      <c r="N28" s="16"/>
    </row>
    <row r="29" spans="2:23" ht="18.75" thickBot="1" x14ac:dyDescent="0.4">
      <c r="B29" s="16"/>
      <c r="C29" s="16"/>
      <c r="D29" s="16"/>
      <c r="E29" s="18"/>
      <c r="F29" s="27"/>
      <c r="G29" s="16"/>
      <c r="H29" s="17"/>
      <c r="I29" s="16"/>
      <c r="J29" s="27"/>
      <c r="K29" s="16"/>
      <c r="L29" s="27"/>
      <c r="M29" s="16"/>
      <c r="N29" s="16"/>
      <c r="P29" s="329" t="s">
        <v>35</v>
      </c>
      <c r="Q29" s="329"/>
      <c r="R29" s="329"/>
      <c r="S29" s="259"/>
      <c r="T29" s="329" t="s">
        <v>198</v>
      </c>
      <c r="U29" s="329"/>
    </row>
    <row r="30" spans="2:23" ht="18.75" thickBot="1" x14ac:dyDescent="0.4">
      <c r="B30" s="16"/>
      <c r="C30" s="16"/>
      <c r="D30" s="16"/>
      <c r="E30" s="30">
        <f>IF($K$1=TRUE,E19+1,"")</f>
        <v>15</v>
      </c>
      <c r="G30" s="224" t="s">
        <v>25</v>
      </c>
      <c r="H30" s="269"/>
      <c r="I30" s="16"/>
      <c r="J30" s="27"/>
      <c r="K30" s="16"/>
      <c r="L30" s="27"/>
      <c r="M30" s="16"/>
      <c r="N30" s="16"/>
      <c r="P30" s="330" t="s">
        <v>97</v>
      </c>
      <c r="Q30" s="330"/>
      <c r="R30" s="330"/>
      <c r="S30"/>
      <c r="T30" s="331" t="s">
        <v>98</v>
      </c>
      <c r="U30" s="331"/>
    </row>
    <row r="31" spans="2:23" ht="15" x14ac:dyDescent="0.3">
      <c r="B31" s="16"/>
      <c r="C31" s="16"/>
      <c r="D31" s="16"/>
      <c r="E31" s="18"/>
      <c r="F31" s="27"/>
      <c r="G31" s="16"/>
      <c r="H31" s="19"/>
      <c r="I31" s="16"/>
      <c r="J31" s="27"/>
      <c r="K31" s="16"/>
      <c r="L31" s="27"/>
      <c r="M31" s="16"/>
      <c r="N31" s="16"/>
    </row>
    <row r="32" spans="2:23" ht="16.350000000000001" thickBot="1" x14ac:dyDescent="0.35">
      <c r="B32" s="16">
        <f>IF($K$2=TRUE,6,"")</f>
        <v>6</v>
      </c>
      <c r="C32" s="15" t="s">
        <v>182</v>
      </c>
      <c r="D32" s="269"/>
      <c r="E32" s="18"/>
      <c r="F32" s="27"/>
      <c r="G32" s="16"/>
      <c r="H32" s="24"/>
      <c r="I32" s="16"/>
      <c r="J32" s="27"/>
      <c r="K32" s="16"/>
      <c r="L32" s="27"/>
      <c r="M32" s="16"/>
      <c r="N32" s="16"/>
    </row>
    <row r="33" spans="2:15" ht="16.350000000000001" thickBot="1" x14ac:dyDescent="0.35">
      <c r="B33" s="79"/>
      <c r="C33" s="49">
        <f>IF($K$1=TRUE,C27+1,"")</f>
        <v>6</v>
      </c>
      <c r="D33" s="81"/>
      <c r="E33" s="26" t="s">
        <v>182</v>
      </c>
      <c r="F33" s="270"/>
      <c r="G33" s="30">
        <f>IF($K$1=TRUE,G16+1,"")</f>
        <v>22</v>
      </c>
      <c r="H33" s="82"/>
      <c r="I33" s="53" t="s">
        <v>35</v>
      </c>
      <c r="J33" s="270"/>
      <c r="K33" s="30">
        <f>IF($K$1=TRUE,M59+1,"")</f>
        <v>30</v>
      </c>
      <c r="L33" s="27"/>
      <c r="M33" s="31" t="s">
        <v>198</v>
      </c>
      <c r="N33" s="269"/>
      <c r="O33" s="16"/>
    </row>
    <row r="34" spans="2:15" ht="16.350000000000001" thickBot="1" x14ac:dyDescent="0.35">
      <c r="B34" s="16">
        <f>IF($K$2=TRUE,11,"")</f>
        <v>11</v>
      </c>
      <c r="C34" s="15" t="s">
        <v>163</v>
      </c>
      <c r="D34" s="270"/>
      <c r="E34" s="225"/>
      <c r="F34" s="225"/>
      <c r="G34" s="30"/>
      <c r="H34" s="82"/>
      <c r="I34" s="18"/>
      <c r="J34" s="23"/>
      <c r="K34" s="30"/>
      <c r="L34" s="27"/>
      <c r="M34" s="18"/>
      <c r="N34" s="35"/>
      <c r="O34" s="16"/>
    </row>
    <row r="35" spans="2:15" ht="15" x14ac:dyDescent="0.3">
      <c r="B35" s="16"/>
      <c r="C35" s="16"/>
      <c r="D35" s="16"/>
      <c r="E35" s="23"/>
      <c r="F35" s="23"/>
      <c r="G35" s="30"/>
      <c r="H35" s="82"/>
      <c r="I35" s="18"/>
      <c r="J35" s="23"/>
      <c r="K35" s="30"/>
      <c r="L35" s="27"/>
      <c r="M35" s="18"/>
      <c r="N35" s="36"/>
      <c r="O35" s="16"/>
    </row>
    <row r="36" spans="2:15" ht="15" x14ac:dyDescent="0.3">
      <c r="B36" s="16"/>
      <c r="C36" s="16"/>
      <c r="D36" s="16"/>
      <c r="E36" s="23"/>
      <c r="F36" s="23"/>
      <c r="G36" s="16"/>
      <c r="H36" s="27"/>
      <c r="I36" s="16"/>
      <c r="L36" s="24"/>
      <c r="M36" s="16"/>
      <c r="N36" s="37"/>
      <c r="O36" s="16"/>
    </row>
    <row r="37" spans="2:15" ht="16.350000000000001" thickBot="1" x14ac:dyDescent="0.35">
      <c r="B37" s="16">
        <f>IF($K$2=TRUE,7,"")</f>
        <v>7</v>
      </c>
      <c r="C37" s="15" t="s">
        <v>35</v>
      </c>
      <c r="D37" s="269"/>
      <c r="E37" s="23"/>
      <c r="F37" s="23"/>
      <c r="G37" s="30"/>
      <c r="H37" s="27"/>
      <c r="I37" s="16"/>
      <c r="J37" s="16"/>
      <c r="L37" s="24"/>
      <c r="M37" s="16"/>
      <c r="N37" s="37"/>
      <c r="O37" s="16"/>
    </row>
    <row r="38" spans="2:15" ht="16.350000000000001" thickBot="1" x14ac:dyDescent="0.35">
      <c r="B38" s="79"/>
      <c r="C38" s="49">
        <f>IF($K$1=TRUE,C33+1,"")</f>
        <v>7</v>
      </c>
      <c r="D38" s="81"/>
      <c r="E38" s="26" t="s">
        <v>35</v>
      </c>
      <c r="F38" s="269"/>
      <c r="G38" s="16"/>
      <c r="H38" s="27"/>
      <c r="I38" s="16"/>
      <c r="J38" s="16"/>
      <c r="L38" s="27"/>
      <c r="N38" s="37"/>
      <c r="O38" s="16"/>
    </row>
    <row r="39" spans="2:15" ht="16.350000000000001" thickBot="1" x14ac:dyDescent="0.35">
      <c r="B39" s="16">
        <f>IF($K$2=TRUE,10,"")</f>
        <v>10</v>
      </c>
      <c r="C39" s="15" t="s">
        <v>181</v>
      </c>
      <c r="D39" s="270"/>
      <c r="E39" s="18"/>
      <c r="F39" s="27"/>
      <c r="G39" s="16"/>
      <c r="H39" s="27"/>
      <c r="I39" s="16"/>
      <c r="J39" s="16"/>
      <c r="L39" s="27"/>
      <c r="M39" s="16"/>
      <c r="N39" s="37"/>
      <c r="O39" s="16"/>
    </row>
    <row r="40" spans="2:15" ht="15" x14ac:dyDescent="0.3">
      <c r="B40" s="16"/>
      <c r="C40" s="16"/>
      <c r="D40" s="16"/>
      <c r="E40" s="18"/>
      <c r="F40" s="27"/>
      <c r="G40" s="16"/>
      <c r="H40" s="27"/>
      <c r="I40" s="16"/>
      <c r="J40" s="16"/>
      <c r="L40" s="27"/>
      <c r="M40" s="16"/>
      <c r="N40" s="37"/>
      <c r="O40" s="16"/>
    </row>
    <row r="41" spans="2:15" ht="16.2" thickBot="1" x14ac:dyDescent="0.35">
      <c r="B41" s="16"/>
      <c r="C41" s="16"/>
      <c r="D41" s="16"/>
      <c r="E41" s="30">
        <f>IF($K$1=TRUE,E30+1,"")</f>
        <v>16</v>
      </c>
      <c r="G41" s="224" t="s">
        <v>244</v>
      </c>
      <c r="H41" s="270"/>
      <c r="I41" s="16"/>
      <c r="J41" s="83" t="s">
        <v>169</v>
      </c>
      <c r="K41" s="15" t="s">
        <v>198</v>
      </c>
      <c r="L41" s="270"/>
      <c r="M41" s="30">
        <f>IF($K$1=TRUE,K33+1,"")</f>
        <v>31</v>
      </c>
      <c r="N41" s="37"/>
      <c r="O41" s="84" t="s">
        <v>35</v>
      </c>
    </row>
    <row r="42" spans="2:15" x14ac:dyDescent="0.3">
      <c r="B42" s="16"/>
      <c r="C42" s="16"/>
      <c r="D42" s="16"/>
      <c r="E42" s="18"/>
      <c r="F42" s="27"/>
      <c r="G42" s="16"/>
      <c r="H42" s="17"/>
      <c r="I42" s="16"/>
      <c r="N42" s="37"/>
      <c r="O42" s="85" t="s">
        <v>55</v>
      </c>
    </row>
    <row r="43" spans="2:15" ht="16.2" thickBot="1" x14ac:dyDescent="0.35">
      <c r="B43" s="16">
        <f>IF($K$2=TRUE,2,"")</f>
        <v>2</v>
      </c>
      <c r="C43" s="15" t="s">
        <v>222</v>
      </c>
      <c r="D43" s="269"/>
      <c r="E43" s="18"/>
      <c r="F43" s="27"/>
      <c r="G43" s="16"/>
      <c r="H43" s="17"/>
      <c r="N43" s="37"/>
      <c r="O43" s="18"/>
    </row>
    <row r="44" spans="2:15" ht="16.2" thickBot="1" x14ac:dyDescent="0.35">
      <c r="B44" s="79"/>
      <c r="C44" s="49">
        <f>IF($K$1=TRUE,C38+1,"")</f>
        <v>8</v>
      </c>
      <c r="D44" s="81"/>
      <c r="E44" s="26" t="s">
        <v>197</v>
      </c>
      <c r="F44" s="270"/>
      <c r="G44" s="16"/>
      <c r="H44" s="17"/>
      <c r="N44" s="272"/>
      <c r="O44" s="16"/>
    </row>
    <row r="45" spans="2:15" ht="16.2" thickBot="1" x14ac:dyDescent="0.35">
      <c r="B45" s="16">
        <f>IF($K$2=TRUE,15,"")</f>
        <v>15</v>
      </c>
      <c r="C45" s="15" t="s">
        <v>197</v>
      </c>
      <c r="D45" s="270"/>
      <c r="E45" s="18"/>
      <c r="F45" s="17"/>
      <c r="G45" s="16"/>
      <c r="H45" s="17"/>
      <c r="K45" s="16"/>
      <c r="L45" s="39" t="s">
        <v>170</v>
      </c>
      <c r="M45" s="84" t="s">
        <v>35</v>
      </c>
      <c r="N45" s="273"/>
    </row>
    <row r="46" spans="2:15" x14ac:dyDescent="0.3">
      <c r="B46" s="16"/>
      <c r="C46" s="16"/>
      <c r="D46" s="16"/>
      <c r="E46" s="18"/>
      <c r="F46" s="17"/>
      <c r="G46" s="16"/>
      <c r="H46" s="17"/>
      <c r="I46" s="16"/>
      <c r="M46" s="18"/>
    </row>
    <row r="47" spans="2:15" x14ac:dyDescent="0.3">
      <c r="B47" s="16"/>
      <c r="C47" s="16"/>
      <c r="D47" s="16"/>
      <c r="E47" s="18"/>
      <c r="F47" s="17"/>
      <c r="G47" s="16"/>
      <c r="H47" s="17"/>
      <c r="I47" s="16"/>
      <c r="M47" s="18"/>
    </row>
    <row r="48" spans="2:15" ht="30" x14ac:dyDescent="0.5">
      <c r="B48" s="11" t="s">
        <v>56</v>
      </c>
      <c r="C48" s="11"/>
      <c r="D48" s="11"/>
      <c r="E48" s="16"/>
      <c r="H48" s="28" t="s">
        <v>54</v>
      </c>
      <c r="N48" s="16"/>
      <c r="O48" s="16"/>
    </row>
    <row r="49" spans="2:15" x14ac:dyDescent="0.3">
      <c r="N49" s="16"/>
      <c r="O49" s="16"/>
    </row>
    <row r="50" spans="2:15" ht="15" thickBot="1" x14ac:dyDescent="0.35">
      <c r="D50" s="79" t="s">
        <v>171</v>
      </c>
      <c r="E50" s="26" t="s">
        <v>197</v>
      </c>
      <c r="F50" s="269"/>
      <c r="N50" s="16"/>
      <c r="O50" s="16"/>
    </row>
    <row r="51" spans="2:15" x14ac:dyDescent="0.3">
      <c r="B51" s="16"/>
      <c r="D51" s="45"/>
      <c r="E51" s="86"/>
      <c r="F51" s="47"/>
      <c r="M51" s="18"/>
      <c r="N51" s="16"/>
      <c r="O51" s="16"/>
    </row>
    <row r="52" spans="2:15" ht="16.2" thickBot="1" x14ac:dyDescent="0.35">
      <c r="E52" s="49">
        <f>IF($K$1=TRUE,E41+1,"")</f>
        <v>17</v>
      </c>
      <c r="F52" s="87"/>
      <c r="G52" s="26" t="s">
        <v>197</v>
      </c>
      <c r="H52" s="269"/>
      <c r="I52" s="16"/>
      <c r="J52" s="16"/>
      <c r="K52" s="16"/>
      <c r="L52" s="67" t="s">
        <v>108</v>
      </c>
      <c r="M52" s="53" t="s">
        <v>198</v>
      </c>
      <c r="N52" s="269"/>
      <c r="O52" s="18"/>
    </row>
    <row r="53" spans="2:15" ht="15" thickBot="1" x14ac:dyDescent="0.35">
      <c r="B53" s="83" t="s">
        <v>61</v>
      </c>
      <c r="C53" s="26" t="s">
        <v>219</v>
      </c>
      <c r="D53" s="269"/>
      <c r="F53" s="82"/>
      <c r="G53" s="18"/>
      <c r="H53" s="19"/>
      <c r="I53" s="16"/>
      <c r="J53" s="16"/>
      <c r="K53" s="16"/>
      <c r="L53" s="17"/>
      <c r="M53" s="16"/>
      <c r="N53" s="57"/>
    </row>
    <row r="54" spans="2:15" ht="16.2" thickBot="1" x14ac:dyDescent="0.35">
      <c r="B54" s="17"/>
      <c r="C54" s="49">
        <f>IF($K$1=TRUE,C44+1,"")</f>
        <v>9</v>
      </c>
      <c r="D54" s="81"/>
      <c r="E54" s="26" t="s">
        <v>219</v>
      </c>
      <c r="F54" s="270"/>
      <c r="G54" s="18"/>
      <c r="H54" s="27"/>
      <c r="I54" s="18"/>
      <c r="J54" s="16"/>
      <c r="K54" s="16"/>
      <c r="L54" s="17"/>
      <c r="M54" s="16"/>
      <c r="N54" s="57"/>
    </row>
    <row r="55" spans="2:15" ht="15" thickBot="1" x14ac:dyDescent="0.35">
      <c r="B55" s="83" t="s">
        <v>60</v>
      </c>
      <c r="C55" s="26" t="s">
        <v>221</v>
      </c>
      <c r="D55" s="270"/>
      <c r="G55" s="30">
        <f>IF($K$1=TRUE,G33+1,"")</f>
        <v>23</v>
      </c>
      <c r="H55" s="82"/>
      <c r="I55" s="53" t="s">
        <v>180</v>
      </c>
      <c r="J55" s="269"/>
      <c r="K55" s="16"/>
      <c r="L55" s="17"/>
      <c r="M55" s="16"/>
      <c r="N55" s="57"/>
      <c r="O55" s="16"/>
    </row>
    <row r="56" spans="2:15" x14ac:dyDescent="0.3">
      <c r="B56" s="17"/>
      <c r="C56" s="79"/>
      <c r="G56" s="30"/>
      <c r="H56" s="158" t="s">
        <v>111</v>
      </c>
      <c r="I56" s="18"/>
      <c r="J56" s="40"/>
      <c r="K56" s="16"/>
      <c r="L56" s="17"/>
      <c r="M56" s="16"/>
      <c r="N56" s="57"/>
      <c r="O56" s="16"/>
    </row>
    <row r="57" spans="2:15" ht="15" thickBot="1" x14ac:dyDescent="0.35">
      <c r="B57" s="17"/>
      <c r="C57" s="17"/>
      <c r="D57" s="17" t="s">
        <v>172</v>
      </c>
      <c r="E57" s="26" t="s">
        <v>182</v>
      </c>
      <c r="F57" s="269"/>
      <c r="G57" s="18"/>
      <c r="H57" s="27"/>
      <c r="I57" s="18"/>
      <c r="J57" s="24"/>
      <c r="K57" s="16"/>
      <c r="L57" s="17"/>
      <c r="N57" s="57"/>
      <c r="O57" s="16"/>
    </row>
    <row r="58" spans="2:15" x14ac:dyDescent="0.3">
      <c r="B58" s="17"/>
      <c r="C58" s="17"/>
      <c r="D58" s="17"/>
      <c r="E58" s="86"/>
      <c r="F58" s="47"/>
      <c r="G58" s="18"/>
      <c r="H58" s="27"/>
      <c r="I58" s="18"/>
      <c r="J58" s="24"/>
      <c r="K58" s="16"/>
      <c r="L58" s="17"/>
      <c r="M58" s="30"/>
      <c r="N58" s="57"/>
      <c r="O58" s="16"/>
    </row>
    <row r="59" spans="2:15" ht="16.2" thickBot="1" x14ac:dyDescent="0.35">
      <c r="B59" s="83"/>
      <c r="C59" s="83"/>
      <c r="D59" s="83"/>
      <c r="E59" s="49">
        <f>IF($K$1=TRUE,E52+1,"")</f>
        <v>18</v>
      </c>
      <c r="F59" s="87"/>
      <c r="G59" s="41" t="s">
        <v>180</v>
      </c>
      <c r="H59" s="270"/>
      <c r="I59" s="30">
        <f>IF($K$1=TRUE,G70+1,"")</f>
        <v>25</v>
      </c>
      <c r="J59" s="27"/>
      <c r="K59" s="53" t="s">
        <v>180</v>
      </c>
      <c r="L59" s="269"/>
      <c r="M59" s="30">
        <f>IF($K$1=TRUE,K67+1,"")</f>
        <v>29</v>
      </c>
      <c r="N59" s="57"/>
      <c r="O59" s="88" t="s">
        <v>173</v>
      </c>
    </row>
    <row r="60" spans="2:15" ht="15" thickBot="1" x14ac:dyDescent="0.35">
      <c r="B60" s="83" t="s">
        <v>59</v>
      </c>
      <c r="C60" s="26" t="s">
        <v>215</v>
      </c>
      <c r="D60" s="269"/>
      <c r="F60" s="82"/>
      <c r="G60" s="42"/>
      <c r="H60" s="23"/>
      <c r="I60" s="30"/>
      <c r="J60" s="158" t="s">
        <v>112</v>
      </c>
      <c r="K60" s="18"/>
      <c r="L60" s="40"/>
      <c r="M60" s="30"/>
      <c r="N60" s="158" t="s">
        <v>114</v>
      </c>
      <c r="O60" s="44"/>
    </row>
    <row r="61" spans="2:15" ht="16.2" thickBot="1" x14ac:dyDescent="0.35">
      <c r="B61" s="17"/>
      <c r="C61" s="49">
        <f>IF($K$1=TRUE,C54+1,"")</f>
        <v>10</v>
      </c>
      <c r="D61" s="81"/>
      <c r="E61" s="26" t="s">
        <v>180</v>
      </c>
      <c r="F61" s="270"/>
      <c r="G61" s="16"/>
      <c r="H61" s="17"/>
      <c r="I61" s="18"/>
      <c r="J61" s="27"/>
      <c r="K61" s="16"/>
      <c r="L61" s="27"/>
      <c r="M61" s="16"/>
      <c r="N61" s="57"/>
      <c r="O61" s="16"/>
    </row>
    <row r="62" spans="2:15" ht="15" thickBot="1" x14ac:dyDescent="0.35">
      <c r="B62" s="83" t="s">
        <v>65</v>
      </c>
      <c r="C62" s="26" t="s">
        <v>180</v>
      </c>
      <c r="D62" s="270"/>
      <c r="G62" s="16"/>
      <c r="H62" s="17"/>
      <c r="I62" s="18"/>
      <c r="J62" s="27"/>
      <c r="K62" s="16"/>
      <c r="L62" s="27"/>
      <c r="M62" s="16"/>
      <c r="N62" s="57"/>
      <c r="O62" s="16"/>
    </row>
    <row r="63" spans="2:15" ht="15" thickBot="1" x14ac:dyDescent="0.35">
      <c r="B63" s="83"/>
      <c r="C63" s="17"/>
      <c r="D63" s="17"/>
      <c r="G63" s="16"/>
      <c r="H63" s="83" t="str">
        <f>"L"&amp;G16</f>
        <v>L21</v>
      </c>
      <c r="I63" s="41" t="s">
        <v>220</v>
      </c>
      <c r="J63" s="270"/>
      <c r="K63" s="16"/>
      <c r="L63" s="27"/>
      <c r="M63" s="16"/>
      <c r="N63" s="57"/>
      <c r="O63" s="16"/>
    </row>
    <row r="64" spans="2:15" x14ac:dyDescent="0.3">
      <c r="B64" s="83"/>
      <c r="C64" s="17"/>
      <c r="D64" s="17"/>
      <c r="G64" s="16"/>
      <c r="H64" s="17"/>
      <c r="I64" s="16"/>
      <c r="J64" s="16"/>
      <c r="K64" s="16"/>
      <c r="L64" s="27"/>
      <c r="M64" s="16"/>
      <c r="N64" s="57"/>
      <c r="O64" s="16"/>
    </row>
    <row r="65" spans="2:15" ht="15" thickBot="1" x14ac:dyDescent="0.35">
      <c r="B65" s="83"/>
      <c r="C65" s="79"/>
      <c r="D65" s="79" t="s">
        <v>174</v>
      </c>
      <c r="E65" s="26" t="s">
        <v>242</v>
      </c>
      <c r="F65" s="269"/>
      <c r="G65" s="16"/>
      <c r="H65" s="17"/>
      <c r="I65" s="16"/>
      <c r="J65" s="16"/>
      <c r="K65" s="16"/>
      <c r="L65" s="27"/>
      <c r="M65" s="16"/>
      <c r="N65" s="57"/>
      <c r="O65" s="16"/>
    </row>
    <row r="66" spans="2:15" x14ac:dyDescent="0.3">
      <c r="B66" s="83"/>
      <c r="C66" s="79"/>
      <c r="D66" s="45"/>
      <c r="E66" s="86"/>
      <c r="F66" s="47"/>
      <c r="G66" s="16"/>
      <c r="H66" s="17"/>
      <c r="I66" s="16"/>
      <c r="J66" s="16"/>
      <c r="K66" s="16"/>
      <c r="L66" s="27"/>
      <c r="M66" s="16"/>
      <c r="N66" s="57"/>
      <c r="O66" s="16"/>
    </row>
    <row r="67" spans="2:15" ht="16.2" thickBot="1" x14ac:dyDescent="0.35">
      <c r="B67" s="83"/>
      <c r="C67" s="79"/>
      <c r="E67" s="49">
        <f>IF($K$1=TRUE,E59+1,"")</f>
        <v>19</v>
      </c>
      <c r="F67" s="87"/>
      <c r="G67" s="26" t="s">
        <v>163</v>
      </c>
      <c r="H67" s="269"/>
      <c r="I67" s="16"/>
      <c r="J67" s="16"/>
      <c r="K67" s="30">
        <f>IF($K$1=TRUE,I27+1,"")</f>
        <v>28</v>
      </c>
      <c r="L67" s="27"/>
      <c r="M67" s="53" t="s">
        <v>180</v>
      </c>
      <c r="N67" s="270"/>
      <c r="O67" s="16"/>
    </row>
    <row r="68" spans="2:15" ht="15" thickBot="1" x14ac:dyDescent="0.35">
      <c r="B68" s="83" t="s">
        <v>63</v>
      </c>
      <c r="C68" s="26" t="s">
        <v>132</v>
      </c>
      <c r="D68" s="269"/>
      <c r="F68" s="82"/>
      <c r="G68" s="18"/>
      <c r="H68" s="19"/>
      <c r="I68" s="16"/>
      <c r="J68" s="16"/>
      <c r="K68" s="16"/>
      <c r="L68" s="158" t="s">
        <v>113</v>
      </c>
      <c r="O68" s="16"/>
    </row>
    <row r="69" spans="2:15" ht="16.2" thickBot="1" x14ac:dyDescent="0.35">
      <c r="B69" s="83"/>
      <c r="C69" s="49">
        <f>IF($K$1=TRUE,C61+1,"")</f>
        <v>11</v>
      </c>
      <c r="D69" s="81"/>
      <c r="E69" s="26" t="s">
        <v>163</v>
      </c>
      <c r="F69" s="270"/>
      <c r="G69" s="18"/>
      <c r="H69" s="24"/>
      <c r="I69" s="16"/>
      <c r="J69" s="16"/>
      <c r="K69" s="16"/>
      <c r="L69" s="27"/>
      <c r="O69" s="16"/>
    </row>
    <row r="70" spans="2:15" ht="15" thickBot="1" x14ac:dyDescent="0.35">
      <c r="B70" s="83" t="s">
        <v>64</v>
      </c>
      <c r="C70" s="26" t="s">
        <v>163</v>
      </c>
      <c r="D70" s="270"/>
      <c r="G70" s="30">
        <f>IF($K$1=TRUE,G55+1,"")</f>
        <v>24</v>
      </c>
      <c r="H70" s="27"/>
      <c r="I70" s="26" t="s">
        <v>163</v>
      </c>
      <c r="J70" s="269"/>
      <c r="K70" s="16"/>
      <c r="L70" s="27"/>
      <c r="O70" s="16"/>
    </row>
    <row r="71" spans="2:15" x14ac:dyDescent="0.3">
      <c r="B71" s="83"/>
      <c r="C71" s="79"/>
      <c r="G71" s="18"/>
      <c r="H71" s="158" t="s">
        <v>111</v>
      </c>
      <c r="I71" s="18"/>
      <c r="J71" s="19"/>
      <c r="K71" s="16"/>
      <c r="L71" s="27"/>
      <c r="O71" s="16"/>
    </row>
    <row r="72" spans="2:15" ht="15" thickBot="1" x14ac:dyDescent="0.35">
      <c r="B72" s="83"/>
      <c r="C72" s="17"/>
      <c r="D72" s="17" t="s">
        <v>175</v>
      </c>
      <c r="E72" s="26" t="s">
        <v>217</v>
      </c>
      <c r="F72" s="269"/>
      <c r="G72" s="18"/>
      <c r="H72" s="27"/>
      <c r="I72" s="18"/>
      <c r="J72" s="24"/>
      <c r="K72" s="16"/>
      <c r="L72" s="27"/>
      <c r="O72" s="16"/>
    </row>
    <row r="73" spans="2:15" x14ac:dyDescent="0.3">
      <c r="B73" s="83"/>
      <c r="C73" s="17"/>
      <c r="D73" s="17"/>
      <c r="E73" s="86"/>
      <c r="F73" s="47"/>
      <c r="G73" s="18"/>
      <c r="H73" s="27"/>
      <c r="I73" s="18"/>
      <c r="J73" s="24"/>
      <c r="K73" s="16"/>
      <c r="L73" s="27"/>
      <c r="O73" s="16"/>
    </row>
    <row r="74" spans="2:15" ht="16.2" thickBot="1" x14ac:dyDescent="0.35">
      <c r="B74" s="83"/>
      <c r="C74" s="83"/>
      <c r="D74" s="83"/>
      <c r="E74" s="49">
        <f>IF($K$1=TRUE,E67+1,"")</f>
        <v>20</v>
      </c>
      <c r="F74" s="87"/>
      <c r="G74" s="41" t="s">
        <v>217</v>
      </c>
      <c r="H74" s="270"/>
      <c r="I74" s="30">
        <f>IF($K$1=TRUE,I59+1,"")</f>
        <v>26</v>
      </c>
      <c r="J74" s="27"/>
      <c r="K74" s="31" t="s">
        <v>25</v>
      </c>
      <c r="L74" s="270"/>
      <c r="O74" s="16"/>
    </row>
    <row r="75" spans="2:15" ht="15" thickBot="1" x14ac:dyDescent="0.35">
      <c r="B75" s="83" t="s">
        <v>145</v>
      </c>
      <c r="C75" s="26" t="s">
        <v>181</v>
      </c>
      <c r="D75" s="269"/>
      <c r="E75" s="89" t="s">
        <v>6</v>
      </c>
      <c r="F75" s="82"/>
      <c r="G75" s="16"/>
      <c r="H75" s="17"/>
      <c r="I75" s="18"/>
      <c r="J75" s="158" t="s">
        <v>112</v>
      </c>
      <c r="O75" s="16"/>
    </row>
    <row r="76" spans="2:15" ht="16.2" thickBot="1" x14ac:dyDescent="0.35">
      <c r="B76" s="83"/>
      <c r="C76" s="49">
        <f>IF($K$1=TRUE,C69+1,"")</f>
        <v>12</v>
      </c>
      <c r="D76" s="81"/>
      <c r="E76" s="26" t="s">
        <v>243</v>
      </c>
      <c r="F76" s="270"/>
      <c r="G76" s="16"/>
      <c r="H76" s="17"/>
      <c r="I76" s="18"/>
      <c r="J76" s="27"/>
      <c r="O76" s="16"/>
    </row>
    <row r="77" spans="2:15" ht="15" thickBot="1" x14ac:dyDescent="0.35">
      <c r="B77" s="83" t="s">
        <v>57</v>
      </c>
      <c r="C77" s="26" t="s">
        <v>222</v>
      </c>
      <c r="D77" s="270"/>
      <c r="G77" s="16"/>
      <c r="J77" s="24"/>
      <c r="K77" s="16"/>
      <c r="L77" s="17"/>
      <c r="O77" s="16"/>
    </row>
    <row r="78" spans="2:15" ht="15" thickBot="1" x14ac:dyDescent="0.35">
      <c r="B78" s="17"/>
      <c r="C78" s="17"/>
      <c r="D78" s="17"/>
      <c r="G78" s="16"/>
      <c r="H78" s="83" t="str">
        <f>"L"&amp;G33</f>
        <v>L22</v>
      </c>
      <c r="I78" s="41" t="s">
        <v>25</v>
      </c>
      <c r="J78" s="270"/>
      <c r="K78" s="16"/>
      <c r="L78" s="17"/>
      <c r="O78" s="16"/>
    </row>
    <row r="79" spans="2:15" x14ac:dyDescent="0.3">
      <c r="B79" s="17"/>
      <c r="C79" s="17"/>
      <c r="D79" s="17"/>
      <c r="E79" s="16"/>
      <c r="F79" s="17"/>
      <c r="G79" s="16"/>
      <c r="H79" s="16"/>
      <c r="I79" s="16"/>
      <c r="J79" s="17"/>
      <c r="M79" s="16"/>
      <c r="N79" s="16"/>
      <c r="O79" s="16"/>
    </row>
    <row r="80" spans="2:15" x14ac:dyDescent="0.3">
      <c r="B80" s="17"/>
      <c r="C80" s="17"/>
      <c r="D80" s="17"/>
      <c r="E80" s="16"/>
      <c r="F80" s="17"/>
      <c r="G80" s="16"/>
      <c r="H80" s="16"/>
      <c r="I80" s="16"/>
      <c r="J80" s="17"/>
      <c r="K80" s="16"/>
      <c r="L80" s="17"/>
      <c r="M80" s="16"/>
      <c r="N80" s="16"/>
      <c r="O80" s="16"/>
    </row>
    <row r="81" spans="2:15" x14ac:dyDescent="0.3">
      <c r="I81" s="16"/>
      <c r="J81" s="17"/>
      <c r="K81" s="16"/>
      <c r="L81" s="17"/>
      <c r="M81" s="16"/>
      <c r="N81" s="16"/>
      <c r="O81" s="16"/>
    </row>
    <row r="82" spans="2:15" x14ac:dyDescent="0.3">
      <c r="B82" s="16"/>
      <c r="C82" s="16"/>
      <c r="D82" s="16"/>
      <c r="E82" s="16"/>
      <c r="F82" s="17"/>
      <c r="G82" s="16"/>
      <c r="H82" s="17"/>
      <c r="I82" s="16"/>
      <c r="J82" s="16"/>
      <c r="K82" s="16"/>
      <c r="L82" s="17"/>
      <c r="M82" s="16"/>
      <c r="N82" s="16"/>
      <c r="O82" s="16"/>
    </row>
    <row r="83" spans="2:15" x14ac:dyDescent="0.3">
      <c r="B83" s="16"/>
      <c r="C83" s="16"/>
      <c r="D83" s="16"/>
      <c r="E83" s="16"/>
      <c r="F83" s="17"/>
      <c r="G83" s="16"/>
      <c r="H83" s="17"/>
      <c r="I83" s="16"/>
      <c r="J83" s="16"/>
      <c r="K83" s="16"/>
      <c r="L83" s="17"/>
      <c r="M83" s="16"/>
      <c r="N83" s="16"/>
      <c r="O83" s="16"/>
    </row>
    <row r="84" spans="2:15" x14ac:dyDescent="0.3">
      <c r="B84" s="16"/>
      <c r="C84" s="16"/>
      <c r="D84" s="16"/>
      <c r="E84" s="16"/>
      <c r="F84" s="17"/>
      <c r="G84" s="16"/>
      <c r="H84" s="17"/>
      <c r="I84" s="16"/>
      <c r="J84" s="16"/>
      <c r="K84" s="16"/>
      <c r="L84" s="17"/>
      <c r="M84" s="16"/>
      <c r="N84" s="16"/>
      <c r="O84" s="16"/>
    </row>
    <row r="85" spans="2:15" x14ac:dyDescent="0.3">
      <c r="B85" s="16"/>
      <c r="C85" s="16"/>
      <c r="D85" s="16"/>
      <c r="E85" s="16"/>
      <c r="F85" s="17"/>
      <c r="G85" s="16"/>
      <c r="H85" s="17"/>
      <c r="I85" s="16"/>
      <c r="J85" s="16"/>
      <c r="K85" s="16"/>
      <c r="L85" s="17"/>
      <c r="M85" s="16"/>
      <c r="N85" s="16"/>
      <c r="O85" s="16"/>
    </row>
    <row r="86" spans="2:15" x14ac:dyDescent="0.3">
      <c r="B86" s="16"/>
      <c r="C86" s="16"/>
      <c r="D86" s="16"/>
      <c r="E86" s="16"/>
      <c r="F86" s="17"/>
      <c r="G86" s="16"/>
      <c r="H86" s="17"/>
      <c r="I86" s="16"/>
      <c r="J86" s="16"/>
      <c r="K86" s="16"/>
      <c r="L86" s="17"/>
      <c r="M86" s="16"/>
      <c r="N86" s="16"/>
      <c r="O86" s="16"/>
    </row>
  </sheetData>
  <mergeCells count="6">
    <mergeCell ref="P29:R29"/>
    <mergeCell ref="T29:U29"/>
    <mergeCell ref="P30:R30"/>
    <mergeCell ref="T30:U30"/>
    <mergeCell ref="B2:E2"/>
    <mergeCell ref="Q7:T9"/>
  </mergeCells>
  <dataValidations count="2">
    <dataValidation type="list" allowBlank="1" showInputMessage="1" showErrorMessage="1" sqref="O15" xr:uid="{16993333-5AD4-42B1-81BA-70BF2164FBE0}">
      <formula1>M12:M17</formula1>
    </dataValidation>
    <dataValidation type="list" allowBlank="1" showInputMessage="1" showErrorMessage="1" sqref="O22" xr:uid="{23361711-D20A-48C9-A3A6-337E0757C63A}">
      <formula1>$M$20:$M$24</formula1>
    </dataValidation>
  </dataValidations>
  <hyperlinks>
    <hyperlink ref="I2" location="Instructions!A1" display="Instructions" xr:uid="{60BA3812-DB09-4008-AFB6-8C4D9BE938CA}"/>
    <hyperlink ref="B2" r:id="rId1" xr:uid="{6BDC3658-DB8B-4455-B51D-1B30CDF778FD}"/>
    <hyperlink ref="Q7" location="Scoreboard!A1" display="Return to Scoreboard" xr:uid="{B6B21488-D377-4F06-BC14-5979BEA50575}"/>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5D7E4B9-FC8C-4890-B412-35FE857CA1BF}">
          <x14:formula1>
            <xm:f>Scoreboard!$C$4:$C$19</xm:f>
          </x14:formula1>
          <xm:sqref>C4 C6 C10 C12 C15 C17 C21 C23 C26 C28 C32 C34 C37 C39 C43 C45 O7 O10 M12 M17 M20 M24 P29:R29 T29:U29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3:Z25"/>
  <sheetViews>
    <sheetView showGridLines="0" showRowColHeaders="0" showZeros="0" zoomScaleNormal="100" workbookViewId="0">
      <selection activeCell="U3" sqref="U3:X3"/>
    </sheetView>
  </sheetViews>
  <sheetFormatPr defaultRowHeight="14.4" x14ac:dyDescent="0.3"/>
  <cols>
    <col min="4" max="4" width="13.44140625" customWidth="1"/>
    <col min="8" max="8" width="14.6640625" customWidth="1"/>
    <col min="11" max="11" width="28.21875" bestFit="1" customWidth="1"/>
    <col min="12" max="12" width="11.109375" hidden="1" customWidth="1"/>
    <col min="13" max="15" width="8.5546875" hidden="1" customWidth="1"/>
    <col min="16" max="16" width="7.109375" customWidth="1"/>
    <col min="17" max="17" width="16.21875" hidden="1" customWidth="1"/>
    <col min="18" max="20" width="8.5546875" hidden="1" customWidth="1"/>
    <col min="21" max="21" width="16.109375" customWidth="1"/>
    <col min="22" max="22" width="13.21875" customWidth="1"/>
    <col min="23" max="24" width="8.77734375" customWidth="1"/>
    <col min="25" max="25" width="13.21875" customWidth="1"/>
  </cols>
  <sheetData>
    <row r="3" spans="2:25" ht="28.2" x14ac:dyDescent="0.5">
      <c r="F3" s="8"/>
      <c r="U3" s="337" t="s">
        <v>68</v>
      </c>
      <c r="V3" s="337"/>
      <c r="W3" s="337"/>
      <c r="X3" s="337"/>
      <c r="Y3" s="160"/>
    </row>
    <row r="4" spans="2:25" ht="15" x14ac:dyDescent="0.3">
      <c r="E4" s="8"/>
    </row>
    <row r="5" spans="2:25" ht="15" hidden="1" x14ac:dyDescent="0.3"/>
    <row r="6" spans="2:25" ht="15" hidden="1" x14ac:dyDescent="0.3"/>
    <row r="7" spans="2:25" ht="15.6" thickBot="1" x14ac:dyDescent="0.35">
      <c r="D7" s="261"/>
    </row>
    <row r="8" spans="2:25" ht="24" customHeight="1" thickTop="1" thickBot="1" x14ac:dyDescent="0.5">
      <c r="C8" s="103"/>
      <c r="D8" s="103"/>
      <c r="E8" s="103"/>
      <c r="F8" s="103"/>
      <c r="G8" s="103"/>
      <c r="H8" s="103"/>
      <c r="I8" s="103"/>
      <c r="J8" s="199" t="s">
        <v>83</v>
      </c>
      <c r="K8" s="252" t="s">
        <v>89</v>
      </c>
      <c r="L8" s="200" t="s">
        <v>84</v>
      </c>
      <c r="M8" s="200" t="s">
        <v>85</v>
      </c>
      <c r="N8" s="200" t="s">
        <v>86</v>
      </c>
      <c r="O8" s="200" t="s">
        <v>87</v>
      </c>
      <c r="P8" s="201" t="s">
        <v>102</v>
      </c>
      <c r="Q8" s="187" t="s">
        <v>88</v>
      </c>
      <c r="V8" s="164" t="s">
        <v>116</v>
      </c>
      <c r="W8" s="165" t="s">
        <v>118</v>
      </c>
      <c r="X8" s="166" t="s">
        <v>119</v>
      </c>
      <c r="Y8" s="167" t="s">
        <v>115</v>
      </c>
    </row>
    <row r="9" spans="2:25" ht="24" customHeight="1" thickBot="1" x14ac:dyDescent="0.55000000000000004">
      <c r="C9" s="338" t="s">
        <v>99</v>
      </c>
      <c r="D9" s="339"/>
      <c r="E9" s="103"/>
      <c r="F9" s="103"/>
      <c r="G9" s="340" t="s">
        <v>100</v>
      </c>
      <c r="H9" s="341"/>
      <c r="I9" s="103"/>
      <c r="J9" s="277">
        <f t="shared" ref="J9:J24" si="0">RANK(P9,$P$9:$P$24,0)</f>
        <v>1</v>
      </c>
      <c r="K9" s="253" t="str">
        <f>$Q9</f>
        <v>Avery &amp; Kayla</v>
      </c>
      <c r="L9" s="108" t="str">
        <f>LEFT(Stump!$Q9,FIND(" ",Stump!$Q9,1))</f>
        <v xml:space="preserve">Avery </v>
      </c>
      <c r="M9" s="108" t="str">
        <f>RIGHT(Q9,LEN(Q9)-FIND("*",SUBSTITUTE(Q9," ","*",LEN(Q9)-LEN(SUBSTITUTE(Q9," ","")))))</f>
        <v>Kayla</v>
      </c>
      <c r="N9" s="108">
        <f>IF($C$10=M9,10,IF($C$11=M9,8,IF($C$12=M9,6,(IF($C$13=M9,5,(IF($C$14=M9,4,IF($C$15=M9,3,IF($C$16=M9,2,IF($C$17=M9,1,0))))))))))</f>
        <v>2</v>
      </c>
      <c r="O9" s="108">
        <f t="shared" ref="O9:O22" si="1">IF($G$10=L9,10,IF($G$11=L9,8,IF($G$12=L9,6,(IF($G$13=L9,5,(IF($G$14=L9,4,IF($G$15=L9,3,IF($G$16=L9,2,IF($G$17=L9,1,0))))))))))</f>
        <v>8</v>
      </c>
      <c r="P9" s="202">
        <f t="shared" ref="P9:P23" si="2">SUM(N9:O9)</f>
        <v>10</v>
      </c>
      <c r="Q9" s="186" t="str">
        <f>Scoreboard!C4</f>
        <v>Avery &amp; Kayla</v>
      </c>
      <c r="R9">
        <f>IF(P9&lt;&gt;0,SUM(N9:O9)," ")</f>
        <v>10</v>
      </c>
      <c r="S9" s="123" t="str">
        <f ca="1">IFERROR(OFFSET($K$9,MATCH(LARGE($R$9:$R$24,1),$R$9:$R$24,0)-1,0)," ")</f>
        <v>Avery &amp; Kayla</v>
      </c>
      <c r="T9">
        <v>10</v>
      </c>
      <c r="V9" s="168"/>
      <c r="W9" s="161">
        <v>1</v>
      </c>
      <c r="X9" s="161">
        <v>16</v>
      </c>
      <c r="Y9" s="284" t="str">
        <f>_xlfn.XLOOKUP(Table5[[#This Row],[Girl]],Table1[Column2],Table1[Column1],"",0,1)</f>
        <v/>
      </c>
    </row>
    <row r="10" spans="2:25" ht="24" customHeight="1" thickBot="1" x14ac:dyDescent="0.55000000000000004">
      <c r="B10" s="103">
        <v>1</v>
      </c>
      <c r="C10" s="335" t="s">
        <v>236</v>
      </c>
      <c r="D10" s="336"/>
      <c r="E10" s="103"/>
      <c r="F10" s="103">
        <v>1</v>
      </c>
      <c r="G10" s="333" t="s">
        <v>230</v>
      </c>
      <c r="H10" s="334"/>
      <c r="I10" s="103"/>
      <c r="J10" s="278">
        <f t="shared" si="0"/>
        <v>10</v>
      </c>
      <c r="K10" s="254" t="str">
        <f t="shared" ref="K10:K22" si="3">$Q10</f>
        <v>Brady &amp; Paige</v>
      </c>
      <c r="L10" s="108" t="str">
        <f>LEFT(Stump!$Q10,FIND(" ",Stump!$Q10,1))</f>
        <v xml:space="preserve">Brady </v>
      </c>
      <c r="M10" s="110" t="str">
        <f t="shared" ref="M10:M22" si="4">RIGHT(Q10,LEN(Q10)-FIND("*",SUBSTITUTE(Q10," ","*",LEN(Q10)-LEN(SUBSTITUTE(Q10," ","")))))</f>
        <v>Paige</v>
      </c>
      <c r="N10" s="110">
        <f t="shared" ref="N10:N22" si="5">IF($C$10=M10,10,IF($C$11=M10,8,IF($C$12=M10,6,(IF($C$13=M10,5,(IF($C$14=M10,4,IF($C$15=M10,3,IF($C$16=M10,2,IF($C$17=M10,1,0))))))))))</f>
        <v>0</v>
      </c>
      <c r="O10" s="110">
        <f t="shared" si="1"/>
        <v>3</v>
      </c>
      <c r="P10" s="203">
        <f t="shared" si="2"/>
        <v>3</v>
      </c>
      <c r="Q10" s="186" t="str">
        <f>Scoreboard!C5</f>
        <v>Brady &amp; Paige</v>
      </c>
      <c r="R10">
        <f t="shared" ref="R10:R24" si="6">IF(P10&lt;&gt;0,SUM(N10:O10)," ")</f>
        <v>3</v>
      </c>
      <c r="S10" s="123" t="str">
        <f ca="1">IFERROR(OFFSET($K$9,MATCH(LARGE($R$9:$R$24,2),$R$9:$R$24,0)-1,0)," ")</f>
        <v>Avery &amp; Kayla</v>
      </c>
      <c r="T10">
        <v>8</v>
      </c>
      <c r="V10" s="168"/>
      <c r="W10" s="159">
        <v>2</v>
      </c>
      <c r="X10" s="159">
        <v>15</v>
      </c>
      <c r="Y10" s="284" t="str">
        <f>_xlfn.XLOOKUP(Table5[[#This Row],[Girl]],Table1[Column2],Table1[Column1],"",0,1)</f>
        <v/>
      </c>
    </row>
    <row r="11" spans="2:25" ht="24" customHeight="1" thickBot="1" x14ac:dyDescent="0.55000000000000004">
      <c r="B11" s="103">
        <v>2</v>
      </c>
      <c r="C11" s="335" t="s">
        <v>238</v>
      </c>
      <c r="D11" s="336"/>
      <c r="E11" s="103"/>
      <c r="F11" s="103">
        <v>2</v>
      </c>
      <c r="G11" s="333" t="s">
        <v>248</v>
      </c>
      <c r="H11" s="334"/>
      <c r="I11" s="103"/>
      <c r="J11" s="278">
        <f t="shared" si="0"/>
        <v>14</v>
      </c>
      <c r="K11" s="254" t="str">
        <f t="shared" si="3"/>
        <v>Ty &amp; Angela</v>
      </c>
      <c r="L11" s="110" t="str">
        <f>LEFT(Stump!$Q11,FIND(" ",Stump!$Q11,1))</f>
        <v xml:space="preserve">Ty </v>
      </c>
      <c r="M11" s="110" t="str">
        <f t="shared" si="4"/>
        <v>Angela</v>
      </c>
      <c r="N11" s="110">
        <f t="shared" si="5"/>
        <v>0</v>
      </c>
      <c r="O11" s="110">
        <f t="shared" si="1"/>
        <v>0</v>
      </c>
      <c r="P11" s="203">
        <f t="shared" si="2"/>
        <v>0</v>
      </c>
      <c r="Q11" s="186" t="str">
        <f>Scoreboard!C6</f>
        <v>Ty &amp; Angela</v>
      </c>
      <c r="R11" t="str">
        <f t="shared" si="6"/>
        <v xml:space="preserve"> </v>
      </c>
      <c r="S11" s="123" t="str">
        <f ca="1">IFERROR(OFFSET($K$9,MATCH(LARGE($R$9:$R$24,3),$R$9:$R$24,0)-1,0)," ")</f>
        <v>Avery &amp; Kayla</v>
      </c>
      <c r="T11">
        <v>6</v>
      </c>
      <c r="V11" s="168"/>
      <c r="W11" s="159">
        <v>3</v>
      </c>
      <c r="X11" s="161">
        <v>14</v>
      </c>
      <c r="Y11" s="284" t="str">
        <f>_xlfn.XLOOKUP(Table5[[#This Row],[Girl]],Table1[Column2],Table1[Column1],"",0,1)</f>
        <v/>
      </c>
    </row>
    <row r="12" spans="2:25" ht="24" customHeight="1" thickBot="1" x14ac:dyDescent="0.55000000000000004">
      <c r="B12" s="103">
        <v>3</v>
      </c>
      <c r="C12" s="335" t="s">
        <v>246</v>
      </c>
      <c r="D12" s="336"/>
      <c r="E12" s="103"/>
      <c r="F12" s="103">
        <v>3</v>
      </c>
      <c r="G12" s="333" t="s">
        <v>249</v>
      </c>
      <c r="H12" s="334"/>
      <c r="I12" s="103"/>
      <c r="J12" s="278">
        <f t="shared" si="0"/>
        <v>1</v>
      </c>
      <c r="K12" s="254" t="str">
        <f t="shared" si="3"/>
        <v>Austin &amp; Shannon</v>
      </c>
      <c r="L12" s="110" t="str">
        <f>LEFT(Stump!$Q12,FIND(" ",Stump!$Q12,1))</f>
        <v xml:space="preserve">Austin </v>
      </c>
      <c r="M12" s="110" t="str">
        <f t="shared" si="4"/>
        <v>Shannon</v>
      </c>
      <c r="N12" s="110">
        <f t="shared" si="5"/>
        <v>0</v>
      </c>
      <c r="O12" s="110">
        <f t="shared" si="1"/>
        <v>10</v>
      </c>
      <c r="P12" s="203">
        <f t="shared" si="2"/>
        <v>10</v>
      </c>
      <c r="Q12" s="186" t="str">
        <f>Scoreboard!C7</f>
        <v>Austin &amp; Shannon</v>
      </c>
      <c r="R12">
        <f t="shared" si="6"/>
        <v>10</v>
      </c>
      <c r="S12" s="123" t="str">
        <f ca="1">IFERROR(OFFSET($K$9,MATCH(LARGE($R$9:$R$24,4),$R$9:$R$24,0)-1,0)," ")</f>
        <v>Thadd &amp; Jordan</v>
      </c>
      <c r="T12">
        <v>5</v>
      </c>
      <c r="V12" s="168"/>
      <c r="W12" s="159">
        <v>4</v>
      </c>
      <c r="X12" s="159">
        <v>13</v>
      </c>
      <c r="Y12" s="284" t="str">
        <f>_xlfn.XLOOKUP(Table5[[#This Row],[Girl]],Table1[Column2],Table1[Column1],"",0,1)</f>
        <v/>
      </c>
    </row>
    <row r="13" spans="2:25" ht="24" customHeight="1" thickBot="1" x14ac:dyDescent="0.55000000000000004">
      <c r="B13" s="103">
        <v>4</v>
      </c>
      <c r="C13" s="335" t="s">
        <v>247</v>
      </c>
      <c r="D13" s="336"/>
      <c r="E13" s="103"/>
      <c r="F13" s="103">
        <v>4</v>
      </c>
      <c r="G13" s="333" t="s">
        <v>234</v>
      </c>
      <c r="H13" s="334"/>
      <c r="I13" s="103"/>
      <c r="J13" s="278">
        <f t="shared" si="0"/>
        <v>1</v>
      </c>
      <c r="K13" s="254" t="str">
        <f t="shared" si="3"/>
        <v>Dean &amp; Misty</v>
      </c>
      <c r="L13" s="110" t="str">
        <f>LEFT(Stump!$Q13,FIND(" ",Stump!$Q13,1))</f>
        <v xml:space="preserve">Dean </v>
      </c>
      <c r="M13" s="110" t="str">
        <f t="shared" si="4"/>
        <v>Misty</v>
      </c>
      <c r="N13" s="110">
        <f t="shared" si="5"/>
        <v>10</v>
      </c>
      <c r="O13" s="110">
        <f t="shared" si="1"/>
        <v>0</v>
      </c>
      <c r="P13" s="203">
        <f t="shared" si="2"/>
        <v>10</v>
      </c>
      <c r="Q13" s="186" t="str">
        <f>Scoreboard!C8</f>
        <v>Dean &amp; Misty</v>
      </c>
      <c r="R13">
        <f t="shared" si="6"/>
        <v>10</v>
      </c>
      <c r="S13" s="123" t="str">
        <f ca="1">IFERROR(OFFSET($K$9,MATCH(LARGE($R$9:$R$24,5),$R$9:$R$24,0)-1,0)," ")</f>
        <v>Thadd &amp; Jordan</v>
      </c>
      <c r="T13">
        <v>4</v>
      </c>
      <c r="V13" s="168"/>
      <c r="W13" s="159">
        <v>5</v>
      </c>
      <c r="X13" s="161">
        <v>12</v>
      </c>
      <c r="Y13" s="284" t="str">
        <f>_xlfn.XLOOKUP(Table5[[#This Row],[Girl]],Table1[Column2],Table1[Column1],"",0,1)</f>
        <v/>
      </c>
    </row>
    <row r="14" spans="2:25" ht="24" customHeight="1" thickBot="1" x14ac:dyDescent="0.55000000000000004">
      <c r="B14" s="103">
        <v>5</v>
      </c>
      <c r="C14" s="335" t="s">
        <v>226</v>
      </c>
      <c r="D14" s="336"/>
      <c r="E14" s="103"/>
      <c r="F14" s="103">
        <v>5</v>
      </c>
      <c r="G14" s="333" t="s">
        <v>239</v>
      </c>
      <c r="H14" s="334"/>
      <c r="I14" s="103"/>
      <c r="J14" s="278">
        <f t="shared" si="0"/>
        <v>4</v>
      </c>
      <c r="K14" s="254" t="str">
        <f t="shared" si="3"/>
        <v>Thadd &amp; Jordan</v>
      </c>
      <c r="L14" s="110" t="str">
        <f>LEFT(Stump!$Q14,FIND(" ",Stump!$Q14,1))</f>
        <v xml:space="preserve">Thadd </v>
      </c>
      <c r="M14" s="110" t="str">
        <f t="shared" si="4"/>
        <v>Jordan</v>
      </c>
      <c r="N14" s="110">
        <f t="shared" si="5"/>
        <v>4</v>
      </c>
      <c r="O14" s="110">
        <f t="shared" si="1"/>
        <v>4</v>
      </c>
      <c r="P14" s="203">
        <f t="shared" si="2"/>
        <v>8</v>
      </c>
      <c r="Q14" s="186" t="str">
        <f>Scoreboard!C9</f>
        <v>Thadd &amp; Jordan</v>
      </c>
      <c r="R14">
        <f t="shared" si="6"/>
        <v>8</v>
      </c>
      <c r="S14" s="123" t="str">
        <f ca="1">IFERROR(OFFSET($K$9,MATCH(LARGE($R$9:$R$24,6),$R$9:$R$24,0)-1,0)," ")</f>
        <v>Mitch &amp; Katelyn</v>
      </c>
      <c r="T14">
        <v>3</v>
      </c>
      <c r="V14" s="168"/>
      <c r="W14" s="159">
        <v>6</v>
      </c>
      <c r="X14" s="159">
        <v>11</v>
      </c>
      <c r="Y14" s="284" t="str">
        <f>_xlfn.XLOOKUP(Table5[[#This Row],[Girl]],Table1[Column2],Table1[Column1],"",0,1)</f>
        <v/>
      </c>
    </row>
    <row r="15" spans="2:25" ht="24" customHeight="1" thickBot="1" x14ac:dyDescent="0.55000000000000004">
      <c r="B15" s="103">
        <v>6</v>
      </c>
      <c r="C15" s="335" t="s">
        <v>237</v>
      </c>
      <c r="D15" s="336"/>
      <c r="E15" s="103"/>
      <c r="F15" s="103">
        <v>6</v>
      </c>
      <c r="G15" s="333" t="s">
        <v>232</v>
      </c>
      <c r="H15" s="334"/>
      <c r="I15" s="103"/>
      <c r="J15" s="278">
        <f t="shared" si="0"/>
        <v>6</v>
      </c>
      <c r="K15" s="254" t="str">
        <f t="shared" si="3"/>
        <v>Mitch &amp; Katelyn</v>
      </c>
      <c r="L15" s="110" t="str">
        <f>LEFT(Stump!$Q15,FIND(" ",Stump!$Q15,1))</f>
        <v xml:space="preserve">Mitch </v>
      </c>
      <c r="M15" s="110" t="str">
        <f t="shared" si="4"/>
        <v>Katelyn</v>
      </c>
      <c r="N15" s="110">
        <f t="shared" si="5"/>
        <v>6</v>
      </c>
      <c r="O15" s="110">
        <f t="shared" si="1"/>
        <v>1</v>
      </c>
      <c r="P15" s="203">
        <f t="shared" si="2"/>
        <v>7</v>
      </c>
      <c r="Q15" s="186" t="str">
        <f>Scoreboard!C10</f>
        <v>Mitch &amp; Katelyn</v>
      </c>
      <c r="R15">
        <f t="shared" si="6"/>
        <v>7</v>
      </c>
      <c r="S15" s="123" t="str">
        <f ca="1">IFERROR(OFFSET($K$9,MATCH(LARGE($R$9:$R$24,7),$R$9:$R$24,0)-1,0)," ")</f>
        <v>Derek &amp; Whitney</v>
      </c>
      <c r="T15">
        <v>2</v>
      </c>
      <c r="V15" s="168"/>
      <c r="W15" s="159">
        <v>7</v>
      </c>
      <c r="X15" s="161">
        <v>10</v>
      </c>
      <c r="Y15" s="284" t="str">
        <f>_xlfn.XLOOKUP(Table5[[#This Row],[Girl]],Table1[Column2],Table1[Column1],"",0,1)</f>
        <v/>
      </c>
    </row>
    <row r="16" spans="2:25" ht="24" customHeight="1" thickBot="1" x14ac:dyDescent="0.55000000000000004">
      <c r="B16" s="103">
        <v>7</v>
      </c>
      <c r="C16" s="335" t="s">
        <v>224</v>
      </c>
      <c r="D16" s="336"/>
      <c r="E16" s="103"/>
      <c r="F16" s="103">
        <v>7</v>
      </c>
      <c r="G16" s="333" t="s">
        <v>240</v>
      </c>
      <c r="H16" s="334"/>
      <c r="I16" s="103"/>
      <c r="J16" s="278">
        <f t="shared" si="0"/>
        <v>13</v>
      </c>
      <c r="K16" s="254" t="str">
        <f t="shared" si="3"/>
        <v>B-Dave &amp; Halley</v>
      </c>
      <c r="L16" s="110" t="str">
        <f>LEFT(Stump!$Q16,FIND(" ",Stump!$Q16,1))</f>
        <v xml:space="preserve">B-Dave </v>
      </c>
      <c r="M16" s="110" t="str">
        <f t="shared" si="4"/>
        <v>Halley</v>
      </c>
      <c r="N16" s="110">
        <f t="shared" si="5"/>
        <v>1</v>
      </c>
      <c r="O16" s="110">
        <f t="shared" si="1"/>
        <v>0</v>
      </c>
      <c r="P16" s="203">
        <f t="shared" si="2"/>
        <v>1</v>
      </c>
      <c r="Q16" s="186" t="str">
        <f>Scoreboard!C11</f>
        <v>B-Dave &amp; Halley</v>
      </c>
      <c r="R16">
        <f t="shared" si="6"/>
        <v>1</v>
      </c>
      <c r="S16" s="123" t="str">
        <f ca="1">IFERROR(OFFSET($K$9,MATCH(LARGE($R$9:$R$24,8),$R$9:$R$24,0)-1,0)," ")</f>
        <v>Trevor &amp; Kristina</v>
      </c>
      <c r="T16">
        <v>1</v>
      </c>
      <c r="V16" s="168"/>
      <c r="W16" s="159">
        <v>8</v>
      </c>
      <c r="X16" s="159">
        <v>9</v>
      </c>
      <c r="Y16" s="284" t="str">
        <f>_xlfn.XLOOKUP(Table5[[#This Row],[Girl]],Table1[Column2],Table1[Column1],"",0,1)</f>
        <v/>
      </c>
    </row>
    <row r="17" spans="2:26" ht="24" customHeight="1" thickBot="1" x14ac:dyDescent="0.55000000000000004">
      <c r="B17" s="103">
        <v>8</v>
      </c>
      <c r="C17" s="333" t="s">
        <v>227</v>
      </c>
      <c r="D17" s="334"/>
      <c r="E17" s="103"/>
      <c r="F17" s="103">
        <v>8</v>
      </c>
      <c r="G17" s="333" t="s">
        <v>241</v>
      </c>
      <c r="H17" s="334"/>
      <c r="I17" s="103"/>
      <c r="J17" s="278">
        <f t="shared" si="0"/>
        <v>8</v>
      </c>
      <c r="K17" s="254" t="str">
        <f t="shared" si="3"/>
        <v>Trevor &amp; Kristina</v>
      </c>
      <c r="L17" s="110" t="str">
        <f>LEFT(Stump!$Q17,FIND(" ",Stump!$Q17,1))</f>
        <v xml:space="preserve">Trevor </v>
      </c>
      <c r="M17" s="110" t="str">
        <f t="shared" si="4"/>
        <v>Kristina</v>
      </c>
      <c r="N17" s="110">
        <f t="shared" si="5"/>
        <v>0</v>
      </c>
      <c r="O17" s="110">
        <f t="shared" si="1"/>
        <v>5</v>
      </c>
      <c r="P17" s="203">
        <f t="shared" si="2"/>
        <v>5</v>
      </c>
      <c r="Q17" s="186" t="str">
        <f>Scoreboard!C12</f>
        <v>Trevor &amp; Kristina</v>
      </c>
      <c r="R17">
        <f t="shared" si="6"/>
        <v>5</v>
      </c>
      <c r="S17" s="123" t="str">
        <f ca="1">IFERROR(OFFSET($K$9,MATCH(LARGE($R$9:$R$22,8),$R$9:$R$22,0)-1,0), " ")</f>
        <v>Trevor &amp; Kristina</v>
      </c>
      <c r="V17" s="168"/>
      <c r="W17" s="159">
        <v>9</v>
      </c>
      <c r="X17" s="161">
        <v>8</v>
      </c>
      <c r="Y17" s="284" t="str">
        <f>_xlfn.XLOOKUP(Table5[[#This Row],[Girl]],Table1[Column2],Table1[Column1],"",0,1)</f>
        <v/>
      </c>
    </row>
    <row r="18" spans="2:26" ht="24" customHeight="1" thickBot="1" x14ac:dyDescent="0.55000000000000004">
      <c r="E18" s="103"/>
      <c r="I18" s="103"/>
      <c r="J18" s="278">
        <f t="shared" si="0"/>
        <v>4</v>
      </c>
      <c r="K18" s="254" t="str">
        <f t="shared" si="3"/>
        <v>Rhett &amp; Haylee</v>
      </c>
      <c r="L18" s="110" t="str">
        <f>LEFT(Stump!$Q18,FIND(" ",Stump!$Q18,1))</f>
        <v xml:space="preserve">Rhett </v>
      </c>
      <c r="M18" s="110" t="str">
        <f t="shared" si="4"/>
        <v>Haylee</v>
      </c>
      <c r="N18" s="110">
        <f t="shared" si="5"/>
        <v>8</v>
      </c>
      <c r="O18" s="110">
        <f t="shared" si="1"/>
        <v>0</v>
      </c>
      <c r="P18" s="203">
        <f t="shared" si="2"/>
        <v>8</v>
      </c>
      <c r="Q18" s="186" t="str">
        <f>Scoreboard!C13</f>
        <v>Rhett &amp; Haylee</v>
      </c>
      <c r="R18">
        <f t="shared" si="6"/>
        <v>8</v>
      </c>
      <c r="V18" s="168"/>
      <c r="W18" s="159">
        <v>10</v>
      </c>
      <c r="X18" s="159">
        <v>7</v>
      </c>
      <c r="Y18" s="284" t="str">
        <f>_xlfn.XLOOKUP(Table5[[#This Row],[Girl]],Table1[Column2],Table1[Column1],"",0,1)</f>
        <v/>
      </c>
    </row>
    <row r="19" spans="2:26" ht="24" customHeight="1" thickBot="1" x14ac:dyDescent="0.55000000000000004">
      <c r="C19" s="103"/>
      <c r="D19" s="103"/>
      <c r="E19" s="103"/>
      <c r="F19" s="103"/>
      <c r="G19" s="103"/>
      <c r="H19" s="103"/>
      <c r="I19" s="103"/>
      <c r="J19" s="278">
        <f t="shared" si="0"/>
        <v>10</v>
      </c>
      <c r="K19" s="254" t="str">
        <f t="shared" si="3"/>
        <v>Chris &amp; Shelby</v>
      </c>
      <c r="L19" s="110" t="str">
        <f>LEFT(Stump!$Q19,FIND(" ",Stump!$Q19,1))</f>
        <v xml:space="preserve">Chris </v>
      </c>
      <c r="M19" s="110" t="str">
        <f t="shared" si="4"/>
        <v>Shelby</v>
      </c>
      <c r="N19" s="110">
        <f t="shared" si="5"/>
        <v>3</v>
      </c>
      <c r="O19" s="110">
        <f t="shared" si="1"/>
        <v>0</v>
      </c>
      <c r="P19" s="203">
        <f t="shared" si="2"/>
        <v>3</v>
      </c>
      <c r="Q19" s="186" t="str">
        <f>Scoreboard!C14</f>
        <v>Chris &amp; Shelby</v>
      </c>
      <c r="R19">
        <f t="shared" si="6"/>
        <v>3</v>
      </c>
      <c r="V19" s="168"/>
      <c r="W19" s="159">
        <v>11</v>
      </c>
      <c r="X19" s="161">
        <v>6</v>
      </c>
      <c r="Y19" s="284" t="str">
        <f>_xlfn.XLOOKUP(Table5[[#This Row],[Girl]],Table1[Column2],Table1[Column1],"",0,1)</f>
        <v/>
      </c>
    </row>
    <row r="20" spans="2:26" ht="24" customHeight="1" thickBot="1" x14ac:dyDescent="0.55000000000000004">
      <c r="C20" s="103"/>
      <c r="D20" s="103"/>
      <c r="E20" s="103"/>
      <c r="F20" s="103"/>
      <c r="G20" s="103"/>
      <c r="H20" s="103"/>
      <c r="I20" s="103"/>
      <c r="J20" s="278">
        <f t="shared" si="0"/>
        <v>8</v>
      </c>
      <c r="K20" s="254" t="str">
        <f t="shared" si="3"/>
        <v>Jon &amp; Kendra</v>
      </c>
      <c r="L20" s="110" t="str">
        <f>LEFT(Stump!$Q20,FIND(" ",Stump!$Q20,1))</f>
        <v xml:space="preserve">Jon </v>
      </c>
      <c r="M20" s="110" t="str">
        <f t="shared" si="4"/>
        <v>Kendra</v>
      </c>
      <c r="N20" s="110">
        <f t="shared" si="5"/>
        <v>5</v>
      </c>
      <c r="O20" s="110">
        <f t="shared" si="1"/>
        <v>0</v>
      </c>
      <c r="P20" s="203">
        <f t="shared" si="2"/>
        <v>5</v>
      </c>
      <c r="Q20" s="186" t="str">
        <f>Scoreboard!C15</f>
        <v>Jon &amp; Kendra</v>
      </c>
      <c r="R20">
        <f t="shared" si="6"/>
        <v>5</v>
      </c>
      <c r="V20" s="168"/>
      <c r="W20" s="159">
        <v>12</v>
      </c>
      <c r="X20" s="159">
        <v>5</v>
      </c>
      <c r="Y20" s="284" t="str">
        <f>_xlfn.XLOOKUP(Table5[[#This Row],[Girl]],Table1[Column2],Table1[Column1],"",0,1)</f>
        <v/>
      </c>
    </row>
    <row r="21" spans="2:26" ht="24" customHeight="1" thickBot="1" x14ac:dyDescent="0.55000000000000004">
      <c r="C21" s="103"/>
      <c r="D21" s="103"/>
      <c r="E21" s="103"/>
      <c r="F21" s="103"/>
      <c r="G21" s="103"/>
      <c r="H21" s="103"/>
      <c r="I21" s="103"/>
      <c r="J21" s="278">
        <f t="shared" si="0"/>
        <v>14</v>
      </c>
      <c r="K21" s="254" t="str">
        <f t="shared" si="3"/>
        <v>Jim &amp; Liz</v>
      </c>
      <c r="L21" s="110" t="str">
        <f>LEFT(Stump!$Q21,FIND(" ",Stump!$Q21,1))</f>
        <v xml:space="preserve">Jim </v>
      </c>
      <c r="M21" s="110" t="str">
        <f t="shared" si="4"/>
        <v>Liz</v>
      </c>
      <c r="N21" s="110">
        <f t="shared" si="5"/>
        <v>0</v>
      </c>
      <c r="O21" s="110">
        <f t="shared" si="1"/>
        <v>0</v>
      </c>
      <c r="P21" s="203">
        <f t="shared" si="2"/>
        <v>0</v>
      </c>
      <c r="Q21" s="186" t="str">
        <f>Scoreboard!C16</f>
        <v>Jim &amp; Liz</v>
      </c>
      <c r="R21" t="str">
        <f t="shared" si="6"/>
        <v xml:space="preserve"> </v>
      </c>
      <c r="V21" s="168"/>
      <c r="W21" s="161">
        <v>13</v>
      </c>
      <c r="X21" s="161">
        <v>4</v>
      </c>
      <c r="Y21" s="284" t="str">
        <f>_xlfn.XLOOKUP(Table5[[#This Row],[Girl]],Table1[Column2],Table1[Column1],"",0,1)</f>
        <v/>
      </c>
    </row>
    <row r="22" spans="2:26" ht="24" customHeight="1" thickBot="1" x14ac:dyDescent="0.55000000000000004">
      <c r="C22" s="103"/>
      <c r="D22" s="103"/>
      <c r="E22" s="103"/>
      <c r="F22" s="103"/>
      <c r="G22" s="103"/>
      <c r="H22" s="103"/>
      <c r="I22" s="103"/>
      <c r="J22" s="278">
        <f t="shared" si="0"/>
        <v>7</v>
      </c>
      <c r="K22" s="255" t="str">
        <f t="shared" si="3"/>
        <v>Derek &amp; Whitney</v>
      </c>
      <c r="L22" s="215" t="str">
        <f>LEFT(Stump!$Q22,FIND(" ",Stump!$Q22,1))</f>
        <v xml:space="preserve">Derek </v>
      </c>
      <c r="M22" s="215" t="str">
        <f t="shared" si="4"/>
        <v>Whitney</v>
      </c>
      <c r="N22" s="215">
        <f t="shared" si="5"/>
        <v>0</v>
      </c>
      <c r="O22" s="215">
        <f t="shared" si="1"/>
        <v>6</v>
      </c>
      <c r="P22" s="216">
        <f t="shared" si="2"/>
        <v>6</v>
      </c>
      <c r="Q22" s="186" t="str">
        <f>Scoreboard!C17</f>
        <v>Derek &amp; Whitney</v>
      </c>
      <c r="R22">
        <f t="shared" si="6"/>
        <v>6</v>
      </c>
      <c r="V22" s="168"/>
      <c r="W22" s="214">
        <v>14</v>
      </c>
      <c r="X22" s="159">
        <v>3</v>
      </c>
      <c r="Y22" s="284" t="str">
        <f>_xlfn.XLOOKUP(Table5[[#This Row],[Girl]],Table1[Column2],Table1[Column1],"",0,1)</f>
        <v/>
      </c>
    </row>
    <row r="23" spans="2:26" ht="27" thickBot="1" x14ac:dyDescent="0.55000000000000004">
      <c r="C23" s="103"/>
      <c r="D23" s="103"/>
      <c r="E23" s="103"/>
      <c r="F23" s="103"/>
      <c r="G23" s="103"/>
      <c r="H23" s="103"/>
      <c r="I23" s="103"/>
      <c r="J23" s="278">
        <f t="shared" si="0"/>
        <v>12</v>
      </c>
      <c r="K23" s="255" t="str">
        <f>$Q23</f>
        <v>Blake &amp; Kirsten</v>
      </c>
      <c r="L23" s="276" t="str">
        <f>LEFT(Stump!$Q23,FIND(" ",Stump!$Q23,1))</f>
        <v xml:space="preserve">Blake </v>
      </c>
      <c r="M23" s="276" t="str">
        <f>RIGHT(Q23,LEN(Q23)-FIND("*",SUBSTITUTE(Q23," ","*",LEN(Q23)-LEN(SUBSTITUTE(Q23," ","")))))</f>
        <v>Kirsten</v>
      </c>
      <c r="N23" s="276">
        <f>IF($C$10=M23,10,IF($C$11=M23,8,IF($C$12=M23,6,(IF($C$13=M23,5,(IF($C$14=M23,4,IF($C$15=M23,3,IF($C$16=M23,2,IF($C$17=M23,1,0))))))))))</f>
        <v>0</v>
      </c>
      <c r="O23" s="276">
        <f>IF($G$10=L23,10,IF($G$11=L23,8,IF($G$12=L23,6,(IF($G$13=L23,5,(IF($G$14=L23,4,IF($G$15=L23,3,IF($G$16=L23,2,IF($G$17=L23,1,0))))))))))</f>
        <v>2</v>
      </c>
      <c r="P23" s="216">
        <f t="shared" si="2"/>
        <v>2</v>
      </c>
      <c r="Q23" s="186" t="str">
        <f>Scoreboard!C18</f>
        <v>Blake &amp; Kirsten</v>
      </c>
      <c r="R23">
        <f t="shared" si="6"/>
        <v>2</v>
      </c>
      <c r="V23" s="168"/>
      <c r="W23" s="159">
        <v>15</v>
      </c>
      <c r="X23" s="161">
        <v>2</v>
      </c>
      <c r="Y23" s="284" t="str">
        <f>_xlfn.XLOOKUP(Table5[[#This Row],[Girl]],Table1[Column2],Table1[Column1],"",0,1)</f>
        <v/>
      </c>
      <c r="Z23" s="8"/>
    </row>
    <row r="24" spans="2:26" ht="27" thickBot="1" x14ac:dyDescent="0.55000000000000004">
      <c r="J24" s="279">
        <f t="shared" si="0"/>
        <v>14</v>
      </c>
      <c r="K24" s="285" t="str">
        <f>$Q24</f>
        <v>Peyton &amp; Hannah</v>
      </c>
      <c r="L24" s="286" t="str">
        <f>LEFT(Stump!$Q24,FIND(" ",Stump!$Q24,1))</f>
        <v xml:space="preserve">Peyton </v>
      </c>
      <c r="M24" s="287" t="str">
        <f>RIGHT(Q24,LEN(Q24)-FIND("*",SUBSTITUTE(Q24," ","*",LEN(Q24)-LEN(SUBSTITUTE(Q24," ","")))))</f>
        <v>Hannah</v>
      </c>
      <c r="N24" s="287">
        <f>IF($C$10=M24,10,IF($C$11=M24,8,IF($C$12=M24,6,(IF($C$13=M24,5,(IF($C$14=M24,4,IF($C$15=M24,3,IF($C$16=M24,2,IF($C$17=M24,1,0))))))))))</f>
        <v>0</v>
      </c>
      <c r="O24" s="287">
        <f>IF($G$10=L24,10,IF($G$11=L24,8,IF($G$12=L24,6,(IF($G$13=L24,5,(IF($G$14=L24,4,IF($G$15=L24,3,IF($G$16=L24,2,IF($G$17=L24,1,0))))))))))</f>
        <v>0</v>
      </c>
      <c r="P24" s="288">
        <f>SUM(N24:O24)</f>
        <v>0</v>
      </c>
      <c r="Q24" s="186" t="str">
        <f>Scoreboard!C19</f>
        <v>Peyton &amp; Hannah</v>
      </c>
      <c r="R24" t="str">
        <f t="shared" si="6"/>
        <v xml:space="preserve"> </v>
      </c>
      <c r="V24" s="168"/>
      <c r="W24" s="159">
        <v>16</v>
      </c>
      <c r="X24" s="159">
        <v>1</v>
      </c>
      <c r="Y24" s="284" t="str">
        <f>_xlfn.XLOOKUP(Table5[[#This Row],[Girl]],Table1[Column2],Table1[Column1],"",0,1)</f>
        <v/>
      </c>
    </row>
    <row r="25" spans="2:26" ht="15.6" thickTop="1" x14ac:dyDescent="0.3"/>
  </sheetData>
  <mergeCells count="19">
    <mergeCell ref="U3:X3"/>
    <mergeCell ref="C15:D15"/>
    <mergeCell ref="G15:H15"/>
    <mergeCell ref="C16:D16"/>
    <mergeCell ref="G16:H16"/>
    <mergeCell ref="C11:D11"/>
    <mergeCell ref="G11:H11"/>
    <mergeCell ref="C9:D9"/>
    <mergeCell ref="G9:H9"/>
    <mergeCell ref="C10:D10"/>
    <mergeCell ref="G10:H10"/>
    <mergeCell ref="C17:D17"/>
    <mergeCell ref="G17:H17"/>
    <mergeCell ref="C12:D12"/>
    <mergeCell ref="G12:H12"/>
    <mergeCell ref="C13:D13"/>
    <mergeCell ref="G13:H13"/>
    <mergeCell ref="C14:D14"/>
    <mergeCell ref="G14:H14"/>
  </mergeCells>
  <conditionalFormatting sqref="J9:J24">
    <cfRule type="cellIs" dxfId="73" priority="4" operator="greaterThanOrEqual">
      <formula>9</formula>
    </cfRule>
    <cfRule type="duplicateValues" dxfId="72" priority="8"/>
  </conditionalFormatting>
  <conditionalFormatting sqref="G10:H17">
    <cfRule type="duplicateValues" dxfId="71" priority="72"/>
  </conditionalFormatting>
  <conditionalFormatting sqref="C10:D17">
    <cfRule type="duplicateValues" dxfId="70" priority="73"/>
  </conditionalFormatting>
  <conditionalFormatting sqref="V9:V21">
    <cfRule type="duplicateValues" dxfId="69" priority="100"/>
  </conditionalFormatting>
  <conditionalFormatting sqref="V22:W22">
    <cfRule type="duplicateValues" dxfId="68" priority="3"/>
  </conditionalFormatting>
  <conditionalFormatting sqref="V23:V24">
    <cfRule type="duplicateValues" dxfId="67" priority="2"/>
  </conditionalFormatting>
  <dataValidations count="2">
    <dataValidation type="list" allowBlank="1" showInputMessage="1" showErrorMessage="1" sqref="G10:H17" xr:uid="{00000000-0002-0000-0200-000000000000}">
      <formula1>$L$9:$L$24</formula1>
    </dataValidation>
    <dataValidation type="list" allowBlank="1" showInputMessage="1" showErrorMessage="1" sqref="V9:V24 C10:D17 V9:V24" xr:uid="{00000000-0002-0000-0200-000001000000}">
      <formula1>$M$9:$M$24</formula1>
    </dataValidation>
  </dataValidations>
  <hyperlinks>
    <hyperlink ref="U3" location="Scoreboard!A1" display="Return to Scoreboard" xr:uid="{00000000-0004-0000-0200-000000000000}"/>
  </hyperlinks>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Y24"/>
  <sheetViews>
    <sheetView showGridLines="0" showRowColHeaders="0" zoomScale="110" zoomScaleNormal="110" workbookViewId="0">
      <selection activeCell="X4" sqref="X4"/>
    </sheetView>
  </sheetViews>
  <sheetFormatPr defaultRowHeight="14.4" x14ac:dyDescent="0.3"/>
  <cols>
    <col min="4" max="4" width="13.44140625" customWidth="1"/>
    <col min="8" max="8" width="14.6640625" customWidth="1"/>
    <col min="11" max="11" width="28.21875" bestFit="1" customWidth="1"/>
    <col min="12" max="12" width="11.109375" hidden="1" customWidth="1"/>
    <col min="13" max="15" width="8.5546875" hidden="1" customWidth="1"/>
    <col min="16" max="16" width="6.5546875" customWidth="1"/>
    <col min="17" max="17" width="9.5546875" hidden="1" customWidth="1"/>
    <col min="18" max="19" width="8.5546875" hidden="1" customWidth="1"/>
    <col min="20" max="20" width="16.109375" hidden="1" customWidth="1"/>
    <col min="21" max="21" width="19.5546875" hidden="1" customWidth="1"/>
    <col min="22" max="22" width="16.44140625" hidden="1" customWidth="1"/>
    <col min="23" max="23" width="1.44140625" bestFit="1" customWidth="1"/>
    <col min="24" max="24" width="44.5546875" customWidth="1"/>
  </cols>
  <sheetData>
    <row r="2" spans="2:25" ht="0.6" customHeight="1" x14ac:dyDescent="0.3">
      <c r="X2" s="8"/>
      <c r="Y2" s="8"/>
    </row>
    <row r="3" spans="2:25" ht="2.1" customHeight="1" x14ac:dyDescent="0.5">
      <c r="I3" t="s">
        <v>6</v>
      </c>
      <c r="X3" s="124"/>
      <c r="Y3" s="124"/>
    </row>
    <row r="4" spans="2:25" ht="28.2" x14ac:dyDescent="0.5">
      <c r="D4" s="261"/>
      <c r="W4" s="124"/>
      <c r="X4" s="124" t="s">
        <v>68</v>
      </c>
    </row>
    <row r="5" spans="2:25" ht="14.4" customHeight="1" x14ac:dyDescent="0.3"/>
    <row r="6" spans="2:25" ht="1.95" customHeight="1" x14ac:dyDescent="0.3"/>
    <row r="7" spans="2:25" ht="1.95" customHeight="1" thickBot="1" x14ac:dyDescent="0.35">
      <c r="W7" t="s">
        <v>6</v>
      </c>
    </row>
    <row r="8" spans="2:25" ht="23.85" customHeight="1" thickBot="1" x14ac:dyDescent="0.5">
      <c r="C8" s="103"/>
      <c r="D8" s="103"/>
      <c r="E8" s="103"/>
      <c r="F8" s="103"/>
      <c r="G8" s="103"/>
      <c r="H8" s="103"/>
      <c r="I8" s="103"/>
      <c r="J8" s="122" t="s">
        <v>83</v>
      </c>
      <c r="K8" s="104" t="s">
        <v>82</v>
      </c>
      <c r="L8" s="105" t="s">
        <v>84</v>
      </c>
      <c r="M8" s="105" t="s">
        <v>85</v>
      </c>
      <c r="N8" s="105" t="s">
        <v>86</v>
      </c>
      <c r="O8" s="105" t="s">
        <v>87</v>
      </c>
      <c r="P8" s="106" t="s">
        <v>102</v>
      </c>
      <c r="Q8" s="100" t="s">
        <v>88</v>
      </c>
      <c r="S8" t="s">
        <v>81</v>
      </c>
      <c r="T8" t="s">
        <v>101</v>
      </c>
    </row>
    <row r="9" spans="2:25" ht="24" customHeight="1" thickBot="1" x14ac:dyDescent="0.5">
      <c r="C9" s="338" t="s">
        <v>90</v>
      </c>
      <c r="D9" s="339"/>
      <c r="E9" s="103"/>
      <c r="F9" s="103"/>
      <c r="G9" s="340" t="s">
        <v>91</v>
      </c>
      <c r="H9" s="341"/>
      <c r="I9" s="103"/>
      <c r="J9" s="217">
        <f t="shared" ref="J9:J24" si="0">RANK(P9,$P$9:$P$24,0)</f>
        <v>1</v>
      </c>
      <c r="K9" s="107" t="str">
        <f>Knockout[[#This Row],[Column5]]</f>
        <v>Avery &amp; Kayla</v>
      </c>
      <c r="L9" s="108" t="str">
        <f>LEFT(Knockout[[#This Row],[Column5]],FIND(" ",Knockout[[#This Row],[Column5]],1))</f>
        <v xml:space="preserve">Avery </v>
      </c>
      <c r="M9" s="108" t="str">
        <f t="shared" ref="M9:M22" si="1">RIGHT(Q9,LEN(Q9)-FIND("*",SUBSTITUTE(Q9," ","*",LEN(Q9)-LEN(SUBSTITUTE(Q9," ","")))))</f>
        <v>Kayla</v>
      </c>
      <c r="N9" s="108">
        <f>IF($C$10=M9,10,IF($C$11=M9,8,IF($C$12=M9,6,(IF($C$13=M9,5,(IF($C$14=M9,4,IF($C$15=M9,3,IF($C$16=M9,2,IF($C$17=M9,1,0))))))))))</f>
        <v>8</v>
      </c>
      <c r="O9" s="108">
        <f t="shared" ref="O9:O22" si="2">IF($G$10=L9,10,IF($G$11=L9,8,IF($G$12=L9,6,(IF($G$13=L9,5,(IF($G$14=L9,4,IF($G$15=L9,3,IF($G$16=L9,2,IF($G$17=L9,1,0))))))))))</f>
        <v>3</v>
      </c>
      <c r="P9" s="111">
        <f t="shared" ref="P9:P22" si="3">SUM(N9:O9)</f>
        <v>11</v>
      </c>
      <c r="Q9" s="101" t="str">
        <f>Scoreboard!C4</f>
        <v>Avery &amp; Kayla</v>
      </c>
      <c r="S9">
        <f>IF(P9&lt;&gt;0,SUM(N9:O9)," ")</f>
        <v>11</v>
      </c>
      <c r="T9" s="213" t="str">
        <f ca="1">IFERROR(OFFSET($K$9,MATCH(LARGE($P$9:$P$24,1),$S$9:$S$24,0)-1,0)," ")</f>
        <v>Avery &amp; Kayla</v>
      </c>
      <c r="U9" s="123">
        <v>10</v>
      </c>
      <c r="V9">
        <f>IFERROR(SUMIFS($U$9:$U$16,$S$9:$S$16,S9)/COUNTIFS($S$9:$S$16,S9),U9)</f>
        <v>10</v>
      </c>
    </row>
    <row r="10" spans="2:25" ht="24" customHeight="1" thickBot="1" x14ac:dyDescent="0.5">
      <c r="B10" s="103">
        <v>1</v>
      </c>
      <c r="C10" s="335" t="s">
        <v>228</v>
      </c>
      <c r="D10" s="336"/>
      <c r="E10" s="103"/>
      <c r="F10" s="103">
        <v>1</v>
      </c>
      <c r="G10" s="335" t="s">
        <v>239</v>
      </c>
      <c r="H10" s="336"/>
      <c r="I10" s="103"/>
      <c r="J10" s="218">
        <f t="shared" si="0"/>
        <v>9</v>
      </c>
      <c r="K10" s="109" t="str">
        <f>Knockout[[#This Row],[Column5]]</f>
        <v>Brady &amp; Paige</v>
      </c>
      <c r="L10" s="108" t="str">
        <f>LEFT(Knockout[[#This Row],[Column5]],FIND(" ",Knockout[[#This Row],[Column5]],1))</f>
        <v xml:space="preserve">Brady </v>
      </c>
      <c r="M10" s="110" t="str">
        <f t="shared" si="1"/>
        <v>Paige</v>
      </c>
      <c r="N10" s="110">
        <f t="shared" ref="N10:N22" si="4">IF($C$10=M10,10,IF($C$11=M10,8,IF($C$12=M10,6,(IF($C$13=M10,5,(IF($C$14=M10,4,IF($C$15=M10,3,IF($C$16=M10,2,IF($C$17=M10,1,0))))))))))</f>
        <v>4</v>
      </c>
      <c r="O10" s="110">
        <f t="shared" si="2"/>
        <v>0</v>
      </c>
      <c r="P10" s="111">
        <f t="shared" si="3"/>
        <v>4</v>
      </c>
      <c r="Q10" s="101" t="str">
        <f>Scoreboard!C5</f>
        <v>Brady &amp; Paige</v>
      </c>
      <c r="S10">
        <f t="shared" ref="S10:S24" si="5">IF(P10&lt;&gt;0,SUM(N10:O10)," ")</f>
        <v>4</v>
      </c>
      <c r="T10" s="213" t="str">
        <f ca="1">IFERROR(OFFSET($K$9,MATCH(LARGE($P$9:$P$24,2),$S$9:$S$24,0)-1,0)," ")</f>
        <v>Thadd &amp; Jordan</v>
      </c>
      <c r="U10" s="123">
        <v>8</v>
      </c>
      <c r="V10">
        <f t="shared" ref="V10:V16" si="6">IFERROR(SUMIFS($U$9:$U$16,$S$9:$S$16,S10)/COUNTIFS($S$9:$S$16,S10),U10)</f>
        <v>8</v>
      </c>
    </row>
    <row r="11" spans="2:25" ht="24" customHeight="1" thickBot="1" x14ac:dyDescent="0.5">
      <c r="B11" s="103">
        <v>2</v>
      </c>
      <c r="C11" s="335" t="s">
        <v>224</v>
      </c>
      <c r="D11" s="336"/>
      <c r="E11" s="103"/>
      <c r="F11" s="103">
        <v>2</v>
      </c>
      <c r="G11" s="335" t="s">
        <v>235</v>
      </c>
      <c r="H11" s="336"/>
      <c r="I11" s="103"/>
      <c r="J11" s="218">
        <f t="shared" si="0"/>
        <v>6</v>
      </c>
      <c r="K11" s="109" t="str">
        <f>Knockout[[#This Row],[Column5]]</f>
        <v>Ty &amp; Angela</v>
      </c>
      <c r="L11" s="110" t="str">
        <f>LEFT(Knockout[[#This Row],[Column5]],FIND(" ",Knockout[[#This Row],[Column5]],1))</f>
        <v xml:space="preserve">Ty </v>
      </c>
      <c r="M11" s="110" t="str">
        <f t="shared" si="1"/>
        <v>Angela</v>
      </c>
      <c r="N11" s="110">
        <f t="shared" si="4"/>
        <v>0</v>
      </c>
      <c r="O11" s="110">
        <f t="shared" si="2"/>
        <v>6</v>
      </c>
      <c r="P11" s="111">
        <f t="shared" si="3"/>
        <v>6</v>
      </c>
      <c r="Q11" s="101" t="str">
        <f>Scoreboard!C6</f>
        <v>Ty &amp; Angela</v>
      </c>
      <c r="S11" s="204">
        <f>IF(P11&lt;&gt;0,SUM(N11:O11)," ")</f>
        <v>6</v>
      </c>
      <c r="T11" s="213" t="str">
        <f ca="1">IFERROR(OFFSET($K$9,MATCH(LARGE($P$9:$P$24,3),$S$9:$S$24,0)-1,0)," ")</f>
        <v>Thadd &amp; Jordan</v>
      </c>
      <c r="U11" s="123">
        <v>6</v>
      </c>
      <c r="V11">
        <f t="shared" si="6"/>
        <v>3.5</v>
      </c>
    </row>
    <row r="12" spans="2:25" ht="24" customHeight="1" thickBot="1" x14ac:dyDescent="0.5">
      <c r="B12" s="103">
        <v>3</v>
      </c>
      <c r="C12" s="335" t="s">
        <v>227</v>
      </c>
      <c r="D12" s="336"/>
      <c r="E12" s="103"/>
      <c r="F12" s="103">
        <v>3</v>
      </c>
      <c r="G12" s="335" t="s">
        <v>231</v>
      </c>
      <c r="H12" s="336"/>
      <c r="I12" s="103"/>
      <c r="J12" s="218">
        <f t="shared" si="0"/>
        <v>15</v>
      </c>
      <c r="K12" s="109" t="str">
        <f>Knockout[[#This Row],[Column5]]</f>
        <v>Austin &amp; Shannon</v>
      </c>
      <c r="L12" s="110" t="str">
        <f>LEFT(Knockout[[#This Row],[Column5]],FIND(" ",Knockout[[#This Row],[Column5]],1))</f>
        <v xml:space="preserve">Austin </v>
      </c>
      <c r="M12" s="110" t="str">
        <f t="shared" si="1"/>
        <v>Shannon</v>
      </c>
      <c r="N12" s="110">
        <f t="shared" si="4"/>
        <v>0</v>
      </c>
      <c r="O12" s="110">
        <f t="shared" si="2"/>
        <v>0</v>
      </c>
      <c r="P12" s="111">
        <f t="shared" si="3"/>
        <v>0</v>
      </c>
      <c r="Q12" s="101" t="str">
        <f>Scoreboard!C7</f>
        <v>Austin &amp; Shannon</v>
      </c>
      <c r="S12" t="str">
        <f>IF(P12&lt;&gt;0,SUM(N12:O12)," ")</f>
        <v xml:space="preserve"> </v>
      </c>
      <c r="T12" s="213" t="str">
        <f ca="1">IFERROR(OFFSET($K$9,MATCH(LARGE($P$9:$P$24,4),$S$9:$S$24,0)-1,0)," ")</f>
        <v>Dean &amp; Misty</v>
      </c>
      <c r="U12" s="123">
        <v>5</v>
      </c>
      <c r="V12">
        <f t="shared" si="6"/>
        <v>5</v>
      </c>
    </row>
    <row r="13" spans="2:25" ht="24" customHeight="1" thickBot="1" x14ac:dyDescent="0.5">
      <c r="B13" s="103">
        <v>4</v>
      </c>
      <c r="C13" s="335" t="s">
        <v>247</v>
      </c>
      <c r="D13" s="336"/>
      <c r="E13" s="103"/>
      <c r="F13" s="103">
        <v>4</v>
      </c>
      <c r="G13" s="335" t="s">
        <v>233</v>
      </c>
      <c r="H13" s="336"/>
      <c r="I13" s="103"/>
      <c r="J13" s="218">
        <f t="shared" si="0"/>
        <v>4</v>
      </c>
      <c r="K13" s="109" t="str">
        <f>Knockout[[#This Row],[Column5]]</f>
        <v>Dean &amp; Misty</v>
      </c>
      <c r="L13" s="110" t="str">
        <f>LEFT(Knockout[[#This Row],[Column5]],FIND(" ",Knockout[[#This Row],[Column5]],1))</f>
        <v xml:space="preserve">Dean </v>
      </c>
      <c r="M13" s="110" t="str">
        <f t="shared" si="1"/>
        <v>Misty</v>
      </c>
      <c r="N13" s="110">
        <f t="shared" si="4"/>
        <v>3</v>
      </c>
      <c r="O13" s="110">
        <f t="shared" si="2"/>
        <v>5</v>
      </c>
      <c r="P13" s="111">
        <f t="shared" si="3"/>
        <v>8</v>
      </c>
      <c r="Q13" s="101" t="str">
        <f>Scoreboard!C8</f>
        <v>Dean &amp; Misty</v>
      </c>
      <c r="S13">
        <f>IF(P13&lt;&gt;0,SUM(N13:O13)," ")</f>
        <v>8</v>
      </c>
      <c r="T13" s="213" t="str">
        <f ca="1">IFERROR(OFFSET($K$9,MATCH(LARGE($P$9:$P$24,5),$S$9:$S$24,0)-1,0)," ")</f>
        <v>Dean &amp; Misty</v>
      </c>
      <c r="U13" s="123">
        <v>4</v>
      </c>
      <c r="V13">
        <f t="shared" si="6"/>
        <v>4</v>
      </c>
    </row>
    <row r="14" spans="2:25" ht="24" customHeight="1" thickBot="1" x14ac:dyDescent="0.5">
      <c r="B14" s="103">
        <v>5</v>
      </c>
      <c r="C14" s="335" t="s">
        <v>252</v>
      </c>
      <c r="D14" s="336"/>
      <c r="E14" s="103"/>
      <c r="F14" s="103">
        <v>5</v>
      </c>
      <c r="G14" s="335" t="s">
        <v>250</v>
      </c>
      <c r="H14" s="336"/>
      <c r="I14" s="103"/>
      <c r="J14" s="218">
        <f t="shared" si="0"/>
        <v>2</v>
      </c>
      <c r="K14" s="109" t="str">
        <f>Knockout[[#This Row],[Column5]]</f>
        <v>Thadd &amp; Jordan</v>
      </c>
      <c r="L14" s="110" t="str">
        <f>LEFT(Knockout[[#This Row],[Column5]],FIND(" ",Knockout[[#This Row],[Column5]],1))</f>
        <v xml:space="preserve">Thadd </v>
      </c>
      <c r="M14" s="110" t="str">
        <f t="shared" si="1"/>
        <v>Jordan</v>
      </c>
      <c r="N14" s="110">
        <f t="shared" si="4"/>
        <v>0</v>
      </c>
      <c r="O14" s="110">
        <f t="shared" si="2"/>
        <v>10</v>
      </c>
      <c r="P14" s="111">
        <f t="shared" si="3"/>
        <v>10</v>
      </c>
      <c r="Q14" s="101" t="str">
        <f>Scoreboard!C9</f>
        <v>Thadd &amp; Jordan</v>
      </c>
      <c r="S14">
        <f t="shared" si="5"/>
        <v>10</v>
      </c>
      <c r="T14" s="213" t="str">
        <f ca="1">IFERROR(OFFSET($K$9,MATCH(LARGE($P$9:$P$24,6),$S$9:$S$24,0)-1,0)," ")</f>
        <v>Ty &amp; Angela</v>
      </c>
      <c r="U14" s="123">
        <v>3</v>
      </c>
      <c r="V14">
        <f t="shared" si="6"/>
        <v>3</v>
      </c>
    </row>
    <row r="15" spans="2:25" ht="24" customHeight="1" thickBot="1" x14ac:dyDescent="0.5">
      <c r="B15" s="103">
        <v>6</v>
      </c>
      <c r="C15" s="335" t="s">
        <v>236</v>
      </c>
      <c r="D15" s="336"/>
      <c r="E15" s="103"/>
      <c r="F15" s="103">
        <v>6</v>
      </c>
      <c r="G15" s="335" t="s">
        <v>248</v>
      </c>
      <c r="H15" s="336"/>
      <c r="I15" s="103"/>
      <c r="J15" s="218">
        <f t="shared" si="0"/>
        <v>13</v>
      </c>
      <c r="K15" s="109" t="str">
        <f>Knockout[[#This Row],[Column5]]</f>
        <v>Mitch &amp; Katelyn</v>
      </c>
      <c r="L15" s="110" t="str">
        <f>LEFT(Knockout[[#This Row],[Column5]],FIND(" ",Knockout[[#This Row],[Column5]],1))</f>
        <v xml:space="preserve">Mitch </v>
      </c>
      <c r="M15" s="110" t="str">
        <f t="shared" si="1"/>
        <v>Katelyn</v>
      </c>
      <c r="N15" s="110">
        <f t="shared" si="4"/>
        <v>1</v>
      </c>
      <c r="O15" s="110">
        <f t="shared" si="2"/>
        <v>0</v>
      </c>
      <c r="P15" s="111">
        <f t="shared" si="3"/>
        <v>1</v>
      </c>
      <c r="Q15" s="101" t="str">
        <f>Scoreboard!C10</f>
        <v>Mitch &amp; Katelyn</v>
      </c>
      <c r="S15">
        <f t="shared" si="5"/>
        <v>1</v>
      </c>
      <c r="T15" s="213" t="str">
        <f ca="1">IFERROR(OFFSET($K$9,MATCH(LARGE($P$9:$P$24,7),$S$9:$S$24,0)-1,0)," ")</f>
        <v>Ty &amp; Angela</v>
      </c>
      <c r="U15" s="123">
        <v>2</v>
      </c>
      <c r="V15">
        <f t="shared" si="6"/>
        <v>2</v>
      </c>
    </row>
    <row r="16" spans="2:25" ht="24" customHeight="1" thickBot="1" x14ac:dyDescent="0.5">
      <c r="B16" s="103">
        <v>7</v>
      </c>
      <c r="C16" s="335" t="s">
        <v>253</v>
      </c>
      <c r="D16" s="336"/>
      <c r="E16" s="103"/>
      <c r="F16" s="103">
        <v>7</v>
      </c>
      <c r="G16" s="335" t="s">
        <v>240</v>
      </c>
      <c r="H16" s="336"/>
      <c r="I16" s="103"/>
      <c r="J16" s="218">
        <f t="shared" si="0"/>
        <v>6</v>
      </c>
      <c r="K16" s="109" t="str">
        <f>Knockout[[#This Row],[Column5]]</f>
        <v>B-Dave &amp; Halley</v>
      </c>
      <c r="L16" s="110" t="str">
        <f>LEFT(Knockout[[#This Row],[Column5]],FIND(" ",Knockout[[#This Row],[Column5]],1))</f>
        <v xml:space="preserve">B-Dave </v>
      </c>
      <c r="M16" s="110" t="str">
        <f t="shared" si="1"/>
        <v>Halley</v>
      </c>
      <c r="N16" s="110">
        <f t="shared" si="4"/>
        <v>6</v>
      </c>
      <c r="O16" s="110">
        <f t="shared" si="2"/>
        <v>0</v>
      </c>
      <c r="P16" s="111">
        <f t="shared" si="3"/>
        <v>6</v>
      </c>
      <c r="Q16" s="101" t="str">
        <f>Scoreboard!C11</f>
        <v>B-Dave &amp; Halley</v>
      </c>
      <c r="S16">
        <f t="shared" si="5"/>
        <v>6</v>
      </c>
      <c r="T16" s="213" t="str">
        <f ca="1">IFERROR(OFFSET($K$9,MATCH(LARGE($P$9:$P$24,8),$S$9:$S$24,0)-1,0)," ")</f>
        <v>Jon &amp; Kendra</v>
      </c>
      <c r="U16" s="123">
        <v>1</v>
      </c>
      <c r="V16">
        <f t="shared" si="6"/>
        <v>3.5</v>
      </c>
    </row>
    <row r="17" spans="2:21" ht="24" customHeight="1" thickBot="1" x14ac:dyDescent="0.5">
      <c r="B17" s="103">
        <v>8</v>
      </c>
      <c r="C17" s="333" t="s">
        <v>246</v>
      </c>
      <c r="D17" s="334"/>
      <c r="E17" s="103"/>
      <c r="F17" s="103">
        <v>8</v>
      </c>
      <c r="G17" s="333" t="s">
        <v>251</v>
      </c>
      <c r="H17" s="334"/>
      <c r="I17" s="103"/>
      <c r="J17" s="218">
        <f t="shared" si="0"/>
        <v>2</v>
      </c>
      <c r="K17" s="109" t="str">
        <f>Knockout[[#This Row],[Column5]]</f>
        <v>Trevor &amp; Kristina</v>
      </c>
      <c r="L17" s="110" t="str">
        <f>LEFT(Knockout[[#This Row],[Column5]],FIND(" ",Knockout[[#This Row],[Column5]],1))</f>
        <v xml:space="preserve">Trevor </v>
      </c>
      <c r="M17" s="110" t="str">
        <f t="shared" si="1"/>
        <v>Kristina</v>
      </c>
      <c r="N17" s="110">
        <f t="shared" si="4"/>
        <v>10</v>
      </c>
      <c r="O17" s="110">
        <f t="shared" si="2"/>
        <v>0</v>
      </c>
      <c r="P17" s="111">
        <f t="shared" si="3"/>
        <v>10</v>
      </c>
      <c r="Q17" s="101" t="str">
        <f>Scoreboard!C12</f>
        <v>Trevor &amp; Kristina</v>
      </c>
      <c r="S17">
        <f t="shared" si="5"/>
        <v>10</v>
      </c>
      <c r="U17" s="123"/>
    </row>
    <row r="18" spans="2:21" ht="24" customHeight="1" x14ac:dyDescent="0.45">
      <c r="E18" s="103"/>
      <c r="I18" s="103"/>
      <c r="J18" s="218">
        <f t="shared" si="0"/>
        <v>4</v>
      </c>
      <c r="K18" s="109" t="str">
        <f>Knockout[[#This Row],[Column5]]</f>
        <v>Rhett &amp; Haylee</v>
      </c>
      <c r="L18" s="110" t="str">
        <f>LEFT(Knockout[[#This Row],[Column5]],FIND(" ",Knockout[[#This Row],[Column5]],1))</f>
        <v xml:space="preserve">Rhett </v>
      </c>
      <c r="M18" s="110" t="str">
        <f t="shared" si="1"/>
        <v>Haylee</v>
      </c>
      <c r="N18" s="110">
        <f t="shared" si="4"/>
        <v>0</v>
      </c>
      <c r="O18" s="110">
        <f t="shared" si="2"/>
        <v>8</v>
      </c>
      <c r="P18" s="111">
        <f t="shared" si="3"/>
        <v>8</v>
      </c>
      <c r="Q18" s="101" t="str">
        <f>Scoreboard!C13</f>
        <v>Rhett &amp; Haylee</v>
      </c>
      <c r="S18">
        <f t="shared" si="5"/>
        <v>8</v>
      </c>
    </row>
    <row r="19" spans="2:21" ht="24" customHeight="1" x14ac:dyDescent="0.45">
      <c r="C19" s="103"/>
      <c r="D19" s="103"/>
      <c r="E19" s="103"/>
      <c r="F19" s="103"/>
      <c r="G19" s="103"/>
      <c r="H19" s="103"/>
      <c r="I19" s="103"/>
      <c r="J19" s="218">
        <f t="shared" si="0"/>
        <v>9</v>
      </c>
      <c r="K19" s="109" t="str">
        <f>Knockout[[#This Row],[Column5]]</f>
        <v>Chris &amp; Shelby</v>
      </c>
      <c r="L19" s="110" t="str">
        <f>LEFT(Knockout[[#This Row],[Column5]],FIND(" ",Knockout[[#This Row],[Column5]],1))</f>
        <v xml:space="preserve">Chris </v>
      </c>
      <c r="M19" s="110" t="str">
        <f t="shared" si="1"/>
        <v>Shelby</v>
      </c>
      <c r="N19" s="110">
        <f t="shared" si="4"/>
        <v>0</v>
      </c>
      <c r="O19" s="110">
        <f t="shared" si="2"/>
        <v>4</v>
      </c>
      <c r="P19" s="111">
        <f t="shared" si="3"/>
        <v>4</v>
      </c>
      <c r="Q19" s="101" t="str">
        <f>Scoreboard!C14</f>
        <v>Chris &amp; Shelby</v>
      </c>
      <c r="S19">
        <f t="shared" si="5"/>
        <v>4</v>
      </c>
    </row>
    <row r="20" spans="2:21" ht="24" customHeight="1" x14ac:dyDescent="0.45">
      <c r="C20" s="103"/>
      <c r="D20" s="103"/>
      <c r="E20" s="103"/>
      <c r="F20" s="103"/>
      <c r="G20" s="103"/>
      <c r="H20" s="103"/>
      <c r="I20" s="103"/>
      <c r="J20" s="218">
        <f t="shared" si="0"/>
        <v>8</v>
      </c>
      <c r="K20" s="112" t="str">
        <f>Knockout[[#This Row],[Column5]]</f>
        <v>Jon &amp; Kendra</v>
      </c>
      <c r="L20" s="110" t="str">
        <f>LEFT(Knockout[[#This Row],[Column5]],FIND(" ",Knockout[[#This Row],[Column5]],1))</f>
        <v xml:space="preserve">Jon </v>
      </c>
      <c r="M20" s="110" t="str">
        <f t="shared" si="1"/>
        <v>Kendra</v>
      </c>
      <c r="N20" s="110">
        <f t="shared" si="4"/>
        <v>5</v>
      </c>
      <c r="O20" s="110">
        <f t="shared" si="2"/>
        <v>0</v>
      </c>
      <c r="P20" s="113">
        <f t="shared" si="3"/>
        <v>5</v>
      </c>
      <c r="Q20" s="101" t="str">
        <f>Scoreboard!C15</f>
        <v>Jon &amp; Kendra</v>
      </c>
      <c r="S20">
        <f t="shared" si="5"/>
        <v>5</v>
      </c>
    </row>
    <row r="21" spans="2:21" ht="24" customHeight="1" x14ac:dyDescent="0.45">
      <c r="C21" s="103"/>
      <c r="D21" s="103"/>
      <c r="E21" s="103"/>
      <c r="F21" s="103"/>
      <c r="G21" s="103"/>
      <c r="H21" s="103"/>
      <c r="I21" s="103"/>
      <c r="J21" s="218">
        <f t="shared" si="0"/>
        <v>13</v>
      </c>
      <c r="K21" s="109" t="str">
        <f>Knockout[[#This Row],[Column5]]</f>
        <v>Jim &amp; Liz</v>
      </c>
      <c r="L21" s="110" t="str">
        <f>LEFT(Knockout[[#This Row],[Column5]],FIND(" ",Knockout[[#This Row],[Column5]],1))</f>
        <v xml:space="preserve">Jim </v>
      </c>
      <c r="M21" s="110" t="str">
        <f t="shared" si="1"/>
        <v>Liz</v>
      </c>
      <c r="N21" s="110">
        <f t="shared" si="4"/>
        <v>0</v>
      </c>
      <c r="O21" s="110">
        <f t="shared" si="2"/>
        <v>1</v>
      </c>
      <c r="P21" s="111">
        <f t="shared" si="3"/>
        <v>1</v>
      </c>
      <c r="Q21" s="101" t="str">
        <f>Scoreboard!C16</f>
        <v>Jim &amp; Liz</v>
      </c>
      <c r="S21">
        <f t="shared" si="5"/>
        <v>1</v>
      </c>
    </row>
    <row r="22" spans="2:21" ht="24" customHeight="1" x14ac:dyDescent="0.45">
      <c r="C22" s="103"/>
      <c r="D22" s="103"/>
      <c r="E22" s="103"/>
      <c r="F22" s="103"/>
      <c r="G22" s="103"/>
      <c r="H22" s="103"/>
      <c r="I22" s="103"/>
      <c r="J22" s="218">
        <f t="shared" si="0"/>
        <v>11</v>
      </c>
      <c r="K22" s="112" t="str">
        <f>Knockout[[#This Row],[Column5]]</f>
        <v>Derek &amp; Whitney</v>
      </c>
      <c r="L22" s="110" t="str">
        <f>LEFT(Knockout[[#This Row],[Column5]],FIND(" ",Knockout[[#This Row],[Column5]],1))</f>
        <v xml:space="preserve">Derek </v>
      </c>
      <c r="M22" s="110" t="str">
        <f t="shared" si="1"/>
        <v>Whitney</v>
      </c>
      <c r="N22" s="110">
        <f t="shared" si="4"/>
        <v>2</v>
      </c>
      <c r="O22" s="110">
        <f t="shared" si="2"/>
        <v>0</v>
      </c>
      <c r="P22" s="113">
        <f t="shared" si="3"/>
        <v>2</v>
      </c>
      <c r="Q22" s="101" t="str">
        <f>Scoreboard!C17</f>
        <v>Derek &amp; Whitney</v>
      </c>
      <c r="S22">
        <f t="shared" si="5"/>
        <v>2</v>
      </c>
    </row>
    <row r="23" spans="2:21" ht="23.85" x14ac:dyDescent="0.45">
      <c r="C23" s="103"/>
      <c r="D23" s="103"/>
      <c r="E23" s="103"/>
      <c r="F23" s="103"/>
      <c r="G23" s="103"/>
      <c r="H23" s="103"/>
      <c r="I23" s="103"/>
      <c r="J23" s="218">
        <f t="shared" si="0"/>
        <v>11</v>
      </c>
      <c r="K23" s="112" t="str">
        <f>Knockout[[#This Row],[Column5]]</f>
        <v>Blake &amp; Kirsten</v>
      </c>
      <c r="L23" s="110" t="str">
        <f>LEFT(Knockout[[#This Row],[Column5]],FIND(" ",Knockout[[#This Row],[Column5]],1))</f>
        <v xml:space="preserve">Blake </v>
      </c>
      <c r="M23" s="110" t="str">
        <f>RIGHT(Q23,LEN(Q23)-FIND("*",SUBSTITUTE(Q23," ","*",LEN(Q23)-LEN(SUBSTITUTE(Q23," ","")))))</f>
        <v>Kirsten</v>
      </c>
      <c r="N23" s="110">
        <f>IF($C$10=M23,10,IF($C$11=M23,8,IF($C$12=M23,6,(IF($C$13=M23,5,(IF($C$14=M23,4,IF($C$15=M23,3,IF($C$16=M23,2,IF($C$17=M23,1,0))))))))))</f>
        <v>0</v>
      </c>
      <c r="O23" s="110">
        <f>IF($G$10=L23,10,IF($G$11=L23,8,IF($G$12=L23,6,(IF($G$13=L23,5,(IF($G$14=L23,4,IF($G$15=L23,3,IF($G$16=L23,2,IF($G$17=L23,1,0))))))))))</f>
        <v>2</v>
      </c>
      <c r="P23" s="113">
        <f>SUM(N23:O23)</f>
        <v>2</v>
      </c>
      <c r="Q23" s="101" t="str">
        <f>Scoreboard!C18</f>
        <v>Blake &amp; Kirsten</v>
      </c>
      <c r="S23">
        <f t="shared" si="5"/>
        <v>2</v>
      </c>
    </row>
    <row r="24" spans="2:21" ht="24.45" thickBot="1" x14ac:dyDescent="0.5">
      <c r="J24" s="219">
        <f t="shared" si="0"/>
        <v>15</v>
      </c>
      <c r="K24" s="112" t="str">
        <f>Knockout[[#This Row],[Column5]]</f>
        <v>Peyton &amp; Hannah</v>
      </c>
      <c r="L24" s="110" t="str">
        <f>LEFT(Knockout[[#This Row],[Column5]],FIND(" ",Knockout[[#This Row],[Column5]],1))</f>
        <v xml:space="preserve">Peyton </v>
      </c>
      <c r="M24" s="110" t="str">
        <f>RIGHT(Q24,LEN(Q24)-FIND("*",SUBSTITUTE(Q24," ","*",LEN(Q24)-LEN(SUBSTITUTE(Q24," ","")))))</f>
        <v>Hannah</v>
      </c>
      <c r="N24" s="110">
        <f>IF($C$10=M24,10,IF($C$11=M24,8,IF($C$12=M24,6,(IF($C$13=M24,5,(IF($C$14=M24,4,IF($C$15=M24,3,IF($C$16=M24,2,IF($C$17=M24,1,0))))))))))</f>
        <v>0</v>
      </c>
      <c r="O24" s="110">
        <f>IF($G$10=L24,10,IF($G$11=L24,8,IF($G$12=L24,6,(IF($G$13=L24,5,(IF($G$14=L24,4,IF($G$15=L24,3,IF($G$16=L24,2,IF($G$17=L24,1,0))))))))))</f>
        <v>0</v>
      </c>
      <c r="P24" s="113">
        <f>SUM(N24:O24)</f>
        <v>0</v>
      </c>
      <c r="Q24" s="101" t="str">
        <f>Scoreboard!C19</f>
        <v>Peyton &amp; Hannah</v>
      </c>
      <c r="S24" t="str">
        <f t="shared" si="5"/>
        <v xml:space="preserve"> </v>
      </c>
    </row>
  </sheetData>
  <mergeCells count="18">
    <mergeCell ref="G17:H17"/>
    <mergeCell ref="G9:H9"/>
    <mergeCell ref="G10:H10"/>
    <mergeCell ref="G11:H11"/>
    <mergeCell ref="G12:H12"/>
    <mergeCell ref="G13:H13"/>
    <mergeCell ref="G14:H14"/>
    <mergeCell ref="G15:H15"/>
    <mergeCell ref="G16:H16"/>
    <mergeCell ref="C17:D17"/>
    <mergeCell ref="C9:D9"/>
    <mergeCell ref="C10:D10"/>
    <mergeCell ref="C11:D11"/>
    <mergeCell ref="C12:D12"/>
    <mergeCell ref="C13:D13"/>
    <mergeCell ref="C14:D14"/>
    <mergeCell ref="C15:D15"/>
    <mergeCell ref="C16:D16"/>
  </mergeCells>
  <conditionalFormatting sqref="J9:J24">
    <cfRule type="cellIs" dxfId="49" priority="1" operator="greaterThanOrEqual">
      <formula>9</formula>
    </cfRule>
    <cfRule type="duplicateValues" dxfId="48" priority="2"/>
  </conditionalFormatting>
  <conditionalFormatting sqref="G10:H17">
    <cfRule type="duplicateValues" dxfId="47" priority="69"/>
  </conditionalFormatting>
  <conditionalFormatting sqref="C10:D17">
    <cfRule type="duplicateValues" dxfId="46" priority="70"/>
  </conditionalFormatting>
  <dataValidations count="2">
    <dataValidation type="list" allowBlank="1" showInputMessage="1" showErrorMessage="1" sqref="C10:D17" xr:uid="{00000000-0002-0000-0300-000000000000}">
      <formula1>$M$9:$M$24</formula1>
    </dataValidation>
    <dataValidation type="list" allowBlank="1" showInputMessage="1" showErrorMessage="1" sqref="G10:H17" xr:uid="{00000000-0002-0000-0300-000001000000}">
      <formula1>$L$9:$L$24</formula1>
    </dataValidation>
  </dataValidations>
  <hyperlinks>
    <hyperlink ref="X4" location="Scoreboard!A1" display="Return to Scoreboard" xr:uid="{00000000-0004-0000-0300-000000000000}"/>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46"/>
  <sheetViews>
    <sheetView showGridLines="0" showRowColHeaders="0" showZeros="0" topLeftCell="A9" zoomScaleNormal="100" workbookViewId="0">
      <selection activeCell="I11" sqref="I11:J11"/>
    </sheetView>
  </sheetViews>
  <sheetFormatPr defaultRowHeight="14.4" x14ac:dyDescent="0.3"/>
  <cols>
    <col min="1" max="1" width="5.33203125" customWidth="1"/>
    <col min="2" max="2" width="21.109375" customWidth="1"/>
    <col min="3" max="3" width="4.44140625" customWidth="1"/>
    <col min="4" max="4" width="21.109375" customWidth="1"/>
    <col min="5" max="5" width="4.44140625" customWidth="1"/>
    <col min="6" max="6" width="21.109375" customWidth="1"/>
    <col min="7" max="7" width="4.44140625" customWidth="1"/>
    <col min="8" max="8" width="21.109375" customWidth="1"/>
    <col min="9" max="9" width="19.5546875" style="173" customWidth="1"/>
    <col min="10" max="10" width="14.5546875" style="173" customWidth="1"/>
    <col min="12" max="12" width="23.5546875" customWidth="1"/>
    <col min="13" max="14" width="2.77734375" hidden="1" customWidth="1"/>
    <col min="15" max="15" width="4.33203125" customWidth="1"/>
    <col min="16" max="16" width="8.5546875" customWidth="1"/>
  </cols>
  <sheetData>
    <row r="1" spans="1:13" s="59" customFormat="1" ht="24" hidden="1" customHeight="1" x14ac:dyDescent="0.3">
      <c r="A1" s="68"/>
      <c r="B1" s="69"/>
      <c r="C1" s="70"/>
      <c r="D1" s="69"/>
      <c r="E1" s="70"/>
      <c r="F1" s="69"/>
      <c r="G1" s="69"/>
      <c r="H1" s="71" t="e">
        <f>kubb</f>
        <v>#NAME?</v>
      </c>
      <c r="I1" s="169"/>
      <c r="J1" s="170"/>
    </row>
    <row r="2" spans="1:13" s="59" customFormat="1" ht="15" hidden="1" x14ac:dyDescent="0.3">
      <c r="A2" s="351"/>
      <c r="B2" s="351"/>
      <c r="C2" s="351"/>
      <c r="D2" s="351"/>
      <c r="E2" s="61"/>
      <c r="F2" s="72"/>
      <c r="G2" s="60"/>
      <c r="H2" s="71" t="e">
        <f>kubb1</f>
        <v>#NAME?</v>
      </c>
      <c r="I2" s="171"/>
      <c r="J2" s="172"/>
    </row>
    <row r="3" spans="1:13" ht="15" hidden="1" x14ac:dyDescent="0.3"/>
    <row r="4" spans="1:13" ht="30" hidden="1" x14ac:dyDescent="0.5">
      <c r="A4" s="12"/>
      <c r="B4" s="12"/>
      <c r="C4" s="13"/>
      <c r="D4" s="13"/>
      <c r="E4" s="13"/>
      <c r="G4" s="13"/>
      <c r="I4" s="174"/>
      <c r="J4" s="174"/>
    </row>
    <row r="5" spans="1:13" ht="15.6" hidden="1" x14ac:dyDescent="0.3">
      <c r="A5" s="14"/>
    </row>
    <row r="6" spans="1:13" ht="15" hidden="1" x14ac:dyDescent="0.3">
      <c r="D6" s="16"/>
      <c r="E6" s="17"/>
      <c r="F6" s="16"/>
      <c r="G6" s="16"/>
      <c r="H6" s="16"/>
    </row>
    <row r="7" spans="1:13" ht="15" hidden="1" x14ac:dyDescent="0.3">
      <c r="A7" s="21"/>
      <c r="B7" s="18"/>
      <c r="D7" s="16"/>
      <c r="E7" s="17"/>
      <c r="F7" s="16"/>
      <c r="G7" s="16"/>
      <c r="H7" s="16"/>
      <c r="I7" s="175"/>
      <c r="J7" s="127"/>
    </row>
    <row r="8" spans="1:13" ht="15" hidden="1" x14ac:dyDescent="0.3">
      <c r="A8" s="21"/>
      <c r="B8" s="18"/>
      <c r="D8" s="16"/>
      <c r="E8" s="17"/>
      <c r="F8" s="16"/>
      <c r="G8" s="16"/>
      <c r="H8" s="16"/>
      <c r="I8" s="175"/>
      <c r="J8" s="127"/>
    </row>
    <row r="9" spans="1:13" ht="10.199999999999999" customHeight="1" x14ac:dyDescent="0.3">
      <c r="A9" s="21"/>
      <c r="B9" s="18"/>
      <c r="D9" s="16"/>
      <c r="E9" s="17"/>
      <c r="F9" s="16"/>
      <c r="G9" s="16"/>
      <c r="H9" s="16"/>
      <c r="I9" s="175"/>
      <c r="J9" s="127"/>
    </row>
    <row r="10" spans="1:13" ht="25.65" thickBot="1" x14ac:dyDescent="0.45">
      <c r="A10" s="21"/>
      <c r="B10" s="22"/>
      <c r="C10" s="21"/>
      <c r="D10" s="91" t="s">
        <v>134</v>
      </c>
      <c r="E10" s="50"/>
      <c r="F10" s="16"/>
      <c r="G10" s="16"/>
      <c r="H10" s="16"/>
    </row>
    <row r="11" spans="1:13" ht="23.25" x14ac:dyDescent="0.4">
      <c r="A11" s="34"/>
      <c r="B11" s="23"/>
      <c r="C11" s="23"/>
      <c r="D11" s="16"/>
      <c r="E11" s="24"/>
      <c r="F11" s="16"/>
      <c r="G11" s="16"/>
      <c r="H11" s="16"/>
      <c r="I11" s="352" t="s">
        <v>67</v>
      </c>
      <c r="J11" s="352"/>
    </row>
    <row r="12" spans="1:13" ht="15.6" thickBot="1" x14ac:dyDescent="0.35">
      <c r="A12" s="34"/>
      <c r="B12" s="23"/>
      <c r="C12" s="23"/>
      <c r="E12" s="27"/>
      <c r="F12" s="16"/>
      <c r="J12" s="127"/>
    </row>
    <row r="13" spans="1:13" ht="15" thickBot="1" x14ac:dyDescent="0.35">
      <c r="A13" s="21"/>
      <c r="B13" s="23"/>
      <c r="C13" s="23"/>
      <c r="D13" s="49" t="s">
        <v>66</v>
      </c>
      <c r="E13" s="27"/>
      <c r="F13" s="16"/>
      <c r="J13" s="127"/>
      <c r="K13" s="353" t="s">
        <v>92</v>
      </c>
      <c r="L13" s="114" t="s">
        <v>215</v>
      </c>
      <c r="M13">
        <f>IF(K13=$H$21,6,IF(K13=$I$23,3,IF(K13=$I$31,2,IF(K13=$I$27,1,""))))</f>
        <v>3</v>
      </c>
    </row>
    <row r="14" spans="1:13" ht="23.4" thickBot="1" x14ac:dyDescent="0.45">
      <c r="A14" s="21"/>
      <c r="B14" s="92" t="s">
        <v>72</v>
      </c>
      <c r="C14" s="65"/>
      <c r="D14" s="30">
        <v>3</v>
      </c>
      <c r="F14" s="94" t="s">
        <v>134</v>
      </c>
      <c r="G14" s="52"/>
      <c r="H14" s="16"/>
      <c r="J14" s="127"/>
      <c r="K14" s="354"/>
      <c r="L14" s="114" t="s">
        <v>222</v>
      </c>
      <c r="M14">
        <f>IF(K13=$H$21,6,IF(K13=$I$23,3,IF(K13=$I$31,2,IF(K13=$I$27,1,""))))</f>
        <v>3</v>
      </c>
    </row>
    <row r="15" spans="1:13" ht="15" thickBot="1" x14ac:dyDescent="0.35">
      <c r="A15" s="8"/>
      <c r="B15" s="8"/>
      <c r="C15" s="33"/>
      <c r="D15" s="16"/>
      <c r="E15" s="27"/>
      <c r="F15" s="16"/>
      <c r="G15" s="27"/>
      <c r="H15" s="16"/>
      <c r="J15" s="127"/>
      <c r="K15" s="355"/>
      <c r="L15" s="114" t="s">
        <v>220</v>
      </c>
      <c r="M15">
        <f>IF(K13=$H$21,6,IF(K13=$I$23,3,IF(K13=$I$31,2,IF(K13=$I$27,1,""))))</f>
        <v>3</v>
      </c>
    </row>
    <row r="16" spans="1:13" ht="15" thickBot="1" x14ac:dyDescent="0.35">
      <c r="A16" s="8"/>
      <c r="B16" s="8"/>
      <c r="C16" s="33"/>
      <c r="D16" s="16"/>
      <c r="E16" s="27"/>
      <c r="F16" s="16"/>
      <c r="G16" s="27"/>
      <c r="H16" s="16"/>
      <c r="J16" s="127"/>
      <c r="K16" s="356" t="s">
        <v>93</v>
      </c>
      <c r="L16" s="115" t="s">
        <v>197</v>
      </c>
      <c r="M16">
        <f>IF($K$16=$H$21,6,IF($K$16=$I$23,3,IF($K$16=$I$31,2,IF($K$16=$I$27,1,""))))</f>
        <v>6</v>
      </c>
    </row>
    <row r="17" spans="1:13" ht="25.2" thickBot="1" x14ac:dyDescent="0.45">
      <c r="A17" s="8"/>
      <c r="B17" s="63">
        <v>1</v>
      </c>
      <c r="C17" s="33"/>
      <c r="D17" s="91" t="s">
        <v>178</v>
      </c>
      <c r="E17" s="51"/>
      <c r="F17" s="16"/>
      <c r="G17" s="27"/>
      <c r="H17" s="16"/>
      <c r="J17" s="127"/>
      <c r="K17" s="357"/>
      <c r="L17" s="115" t="s">
        <v>25</v>
      </c>
      <c r="M17">
        <f>IF($K$16=$H$21,6,IF($K$16=$I$23,3,IF($K$16=$I$31,2,IF($K$16=$I$27,1,""))))</f>
        <v>6</v>
      </c>
    </row>
    <row r="18" spans="1:13" ht="15" thickBot="1" x14ac:dyDescent="0.35">
      <c r="A18" s="8"/>
      <c r="B18" s="8"/>
      <c r="C18" s="33"/>
      <c r="D18" s="16"/>
      <c r="E18" s="17"/>
      <c r="F18" s="16"/>
      <c r="G18" s="27"/>
      <c r="H18" s="16"/>
      <c r="J18" s="127"/>
      <c r="K18" s="358"/>
      <c r="L18" s="115" t="s">
        <v>198</v>
      </c>
      <c r="M18">
        <f>IF($K$16=$H$21,6,IF($K$16=$I$23,3,IF($K$16=$I$31,2,IF($K$16=$I$27,1,""))))</f>
        <v>6</v>
      </c>
    </row>
    <row r="19" spans="1:13" ht="15" thickBot="1" x14ac:dyDescent="0.35">
      <c r="B19" s="23"/>
      <c r="C19" s="20"/>
      <c r="D19" s="30"/>
      <c r="E19" s="17"/>
      <c r="G19" s="27"/>
      <c r="H19" s="16"/>
      <c r="J19" s="127"/>
      <c r="K19" s="359" t="s">
        <v>94</v>
      </c>
      <c r="L19" s="116" t="s">
        <v>163</v>
      </c>
      <c r="M19" t="str">
        <f>IF($K$19=$H$21,6,IF($K$19=$I$23,3,IF($K$19=$I$31,2,IF($K$19=$I$27,1,""))))</f>
        <v/>
      </c>
    </row>
    <row r="20" spans="1:13" ht="23.4" thickBot="1" x14ac:dyDescent="0.45">
      <c r="A20" s="21"/>
      <c r="B20" s="92" t="s">
        <v>178</v>
      </c>
      <c r="C20" s="64"/>
      <c r="D20" s="30"/>
      <c r="E20" s="17"/>
      <c r="G20" s="27"/>
      <c r="H20" s="16"/>
      <c r="J20" s="127"/>
      <c r="K20" s="360"/>
      <c r="L20" s="116" t="s">
        <v>221</v>
      </c>
      <c r="M20" t="str">
        <f>IF($K$19=$H$21,6,IF($K$19=$I$23,3,IF($K$19=$I$31,2,IF($K$19=$I$27,1,""))))</f>
        <v/>
      </c>
    </row>
    <row r="21" spans="1:13" ht="23.4" thickBot="1" x14ac:dyDescent="0.45">
      <c r="A21" s="21"/>
      <c r="B21" s="29"/>
      <c r="C21" s="62"/>
      <c r="D21" s="16"/>
      <c r="E21" s="28" t="s">
        <v>54</v>
      </c>
      <c r="F21" s="30"/>
      <c r="G21" s="32"/>
      <c r="H21" s="94" t="s">
        <v>73</v>
      </c>
      <c r="I21" s="48"/>
      <c r="K21" s="361"/>
      <c r="L21" s="116" t="s">
        <v>132</v>
      </c>
      <c r="M21" t="str">
        <f>IF($K$19=$H$21,6,IF($K$19=$I$23,3,IF($K$19=$I$31,2,IF($K$19=$I$27,1,""))))</f>
        <v/>
      </c>
    </row>
    <row r="22" spans="1:13" ht="23.4" thickBot="1" x14ac:dyDescent="0.45">
      <c r="A22" s="21"/>
      <c r="B22" s="18"/>
      <c r="C22" s="46"/>
      <c r="D22" s="16"/>
      <c r="E22" s="17"/>
      <c r="F22" s="30">
        <v>6</v>
      </c>
      <c r="G22" s="27"/>
      <c r="H22" s="99" t="s">
        <v>55</v>
      </c>
      <c r="I22" s="48"/>
      <c r="J22" s="176"/>
      <c r="K22" s="345" t="s">
        <v>95</v>
      </c>
      <c r="L22" s="118" t="s">
        <v>35</v>
      </c>
      <c r="M22" t="str">
        <f>IF($K$22=$H$21,6,IF($K$22=$I$23,3,IF($K$22=$I$31,2,IF($K$22=$I$27,1,""))))</f>
        <v/>
      </c>
    </row>
    <row r="23" spans="1:13" ht="15" thickBot="1" x14ac:dyDescent="0.35">
      <c r="A23" s="21"/>
      <c r="B23" s="23"/>
      <c r="C23" s="23"/>
      <c r="D23" s="16"/>
      <c r="E23" s="17"/>
      <c r="F23" s="21"/>
      <c r="G23" s="27"/>
      <c r="H23" s="18"/>
      <c r="I23" s="177" t="s">
        <v>134</v>
      </c>
      <c r="J23" s="176"/>
      <c r="K23" s="346"/>
      <c r="L23" s="118" t="s">
        <v>217</v>
      </c>
      <c r="M23" t="str">
        <f>IF($K$22=$H$21,6,IF($K$22=$I$23,3,IF($K$22=$I$31,2,IF($K$22=$I$27,1,""))))</f>
        <v/>
      </c>
    </row>
    <row r="24" spans="1:13" ht="23.4" thickBot="1" x14ac:dyDescent="0.45">
      <c r="A24" s="21"/>
      <c r="B24" s="30"/>
      <c r="C24" s="34"/>
      <c r="D24" s="92" t="s">
        <v>73</v>
      </c>
      <c r="E24" s="52"/>
      <c r="F24" s="21"/>
      <c r="G24" s="32"/>
      <c r="H24" s="18"/>
      <c r="I24" s="184" t="s">
        <v>129</v>
      </c>
      <c r="J24" s="176"/>
      <c r="K24" s="347"/>
      <c r="L24" s="118" t="s">
        <v>180</v>
      </c>
      <c r="M24" t="str">
        <f>IF($K$22=$H$21,6,IF($K$22=$I$23,3,IF($K$22=$I$31,2,IF($K$22=$I$27,1,""))))</f>
        <v/>
      </c>
    </row>
    <row r="25" spans="1:13" ht="15" thickBot="1" x14ac:dyDescent="0.35">
      <c r="A25" s="21"/>
      <c r="B25" s="23"/>
      <c r="C25" s="23"/>
      <c r="D25" s="16"/>
      <c r="E25" s="24"/>
      <c r="F25" s="21"/>
      <c r="G25" s="32"/>
      <c r="H25" s="18"/>
      <c r="I25" s="48"/>
      <c r="J25" s="176"/>
      <c r="K25" s="348" t="s">
        <v>96</v>
      </c>
      <c r="L25" s="117" t="s">
        <v>219</v>
      </c>
      <c r="M25" t="str">
        <f>IF($K$25=$H$21,6,IF($K$25=$I$23,3,IF($K$25=$I$31,2,IF($K$25=$I$27,1,""))))</f>
        <v/>
      </c>
    </row>
    <row r="26" spans="1:13" ht="15" thickBot="1" x14ac:dyDescent="0.35">
      <c r="A26" s="21"/>
      <c r="B26" s="23"/>
      <c r="C26" s="23"/>
      <c r="D26" s="16"/>
      <c r="E26" s="24"/>
      <c r="F26" s="21"/>
      <c r="G26" s="32"/>
      <c r="H26" s="192"/>
      <c r="I26" s="48"/>
      <c r="J26" s="176"/>
      <c r="K26" s="349"/>
      <c r="L26" s="117" t="s">
        <v>181</v>
      </c>
      <c r="M26" t="str">
        <f>IF($K$25=$H$21,6,IF($K$25=$I$23,3,IF($K$25=$I$31,2,IF($K$25=$I$27,1,""))))</f>
        <v/>
      </c>
    </row>
    <row r="27" spans="1:13" ht="23.4" thickBot="1" x14ac:dyDescent="0.45">
      <c r="A27" s="21"/>
      <c r="B27" s="29"/>
      <c r="C27" s="62"/>
      <c r="D27" s="30"/>
      <c r="F27" s="93" t="s">
        <v>73</v>
      </c>
      <c r="G27" s="51"/>
      <c r="H27" s="193"/>
      <c r="I27" s="48"/>
      <c r="J27" s="178"/>
      <c r="K27" s="350"/>
      <c r="L27" s="281"/>
      <c r="M27" t="str">
        <f>IF($K$25=$H$21,6,IF($K$25=$I$23,3,IF($K$25=$I$31,2,IF($K$25=$I$27,1,""))))</f>
        <v/>
      </c>
    </row>
    <row r="28" spans="1:13" ht="23.4" thickBot="1" x14ac:dyDescent="0.45">
      <c r="A28" s="34"/>
      <c r="B28" s="97"/>
      <c r="C28" s="23"/>
      <c r="D28" s="49" t="s">
        <v>66</v>
      </c>
      <c r="E28" s="27"/>
      <c r="F28" s="21"/>
      <c r="H28" s="45"/>
      <c r="I28" s="184"/>
      <c r="J28" s="178"/>
      <c r="K28" s="342" t="s">
        <v>179</v>
      </c>
      <c r="L28" s="280" t="s">
        <v>242</v>
      </c>
      <c r="M28">
        <f>IF($K$28=$H$21,6,IF($K$28=$I$23,3,IF($K$28=$I$31,2,IF($K$28=$I$27,1,""))))</f>
        <v>2</v>
      </c>
    </row>
    <row r="29" spans="1:13" ht="24" thickBot="1" x14ac:dyDescent="0.5">
      <c r="A29" s="34"/>
      <c r="B29" s="92" t="s">
        <v>74</v>
      </c>
      <c r="C29" s="65"/>
      <c r="D29" s="30">
        <v>4</v>
      </c>
      <c r="E29" s="27"/>
      <c r="F29" s="21"/>
      <c r="G29" s="75"/>
      <c r="H29" s="95" t="s">
        <v>178</v>
      </c>
      <c r="J29" s="178"/>
      <c r="K29" s="343"/>
      <c r="L29" s="280" t="s">
        <v>182</v>
      </c>
      <c r="M29">
        <f t="shared" ref="M29:M30" si="0">IF($K$28=$H$21,6,IF($K$28=$I$23,3,IF($K$28=$I$31,2,IF($K$28=$I$27,1,""))))</f>
        <v>2</v>
      </c>
    </row>
    <row r="30" spans="1:13" ht="15" thickBot="1" x14ac:dyDescent="0.35">
      <c r="A30" s="34"/>
      <c r="B30" s="8"/>
      <c r="C30" s="33"/>
      <c r="D30" s="16"/>
      <c r="E30" s="27"/>
      <c r="F30" s="21"/>
      <c r="G30" s="38"/>
      <c r="H30" s="47"/>
      <c r="I30" s="48"/>
      <c r="J30" s="178"/>
      <c r="K30" s="344"/>
      <c r="L30" s="281"/>
      <c r="M30">
        <f t="shared" si="0"/>
        <v>2</v>
      </c>
    </row>
    <row r="31" spans="1:13" ht="24.45" thickBot="1" x14ac:dyDescent="0.5">
      <c r="A31" s="34"/>
      <c r="B31" s="8"/>
      <c r="C31" s="33"/>
      <c r="D31" s="92" t="s">
        <v>71</v>
      </c>
      <c r="E31" s="51"/>
      <c r="F31" s="21"/>
      <c r="G31" s="73"/>
      <c r="H31" s="74"/>
      <c r="I31" s="179" t="s">
        <v>178</v>
      </c>
      <c r="J31" s="178"/>
      <c r="K31" s="45"/>
    </row>
    <row r="32" spans="1:13" ht="20.7" x14ac:dyDescent="0.35">
      <c r="A32" s="34"/>
      <c r="B32" s="63">
        <v>2</v>
      </c>
      <c r="C32" s="33"/>
      <c r="D32" s="16"/>
      <c r="E32" s="17"/>
      <c r="F32" s="21"/>
      <c r="G32" s="75"/>
      <c r="H32" s="30">
        <v>5</v>
      </c>
      <c r="I32" s="98" t="s">
        <v>13</v>
      </c>
      <c r="J32" s="180"/>
      <c r="K32" s="45"/>
      <c r="L32" t="s">
        <v>6</v>
      </c>
    </row>
    <row r="33" spans="1:11" ht="24.45" thickBot="1" x14ac:dyDescent="0.5">
      <c r="A33" s="34"/>
      <c r="B33" s="8"/>
      <c r="C33" s="33"/>
      <c r="D33" s="16"/>
      <c r="E33" s="17"/>
      <c r="G33" s="75"/>
      <c r="H33" s="96" t="s">
        <v>71</v>
      </c>
      <c r="I33" s="176"/>
      <c r="J33" s="178"/>
      <c r="K33" s="45"/>
    </row>
    <row r="34" spans="1:11" ht="15" x14ac:dyDescent="0.3">
      <c r="A34" s="34"/>
      <c r="B34" s="23"/>
      <c r="C34" s="20"/>
      <c r="D34" s="16"/>
      <c r="E34" s="17"/>
      <c r="H34" s="18"/>
      <c r="I34" s="181"/>
      <c r="J34" s="178"/>
      <c r="K34" s="45"/>
    </row>
    <row r="35" spans="1:11" ht="23.4" thickBot="1" x14ac:dyDescent="0.45">
      <c r="A35" s="21"/>
      <c r="B35" s="92" t="s">
        <v>71</v>
      </c>
      <c r="C35" s="64"/>
      <c r="D35" s="21"/>
      <c r="E35" s="25"/>
      <c r="H35" s="45"/>
      <c r="I35" s="176"/>
      <c r="J35" s="176"/>
      <c r="K35" s="45"/>
    </row>
    <row r="36" spans="1:11" x14ac:dyDescent="0.3">
      <c r="A36" s="25"/>
      <c r="B36" s="21"/>
      <c r="C36" s="25"/>
      <c r="D36" s="21"/>
      <c r="E36" s="34"/>
      <c r="J36" s="182"/>
    </row>
    <row r="37" spans="1:11" x14ac:dyDescent="0.3">
      <c r="A37" s="25"/>
      <c r="B37" s="21"/>
      <c r="C37" s="25"/>
      <c r="D37" s="21"/>
      <c r="E37" s="21"/>
      <c r="F37" s="21"/>
      <c r="G37" s="25"/>
      <c r="J37" s="182"/>
    </row>
    <row r="38" spans="1:11" x14ac:dyDescent="0.3">
      <c r="A38" s="25"/>
      <c r="B38" s="21"/>
      <c r="C38" s="25"/>
      <c r="D38" s="21"/>
      <c r="E38" s="21"/>
      <c r="F38" s="21"/>
      <c r="G38" s="25"/>
      <c r="J38" s="182"/>
    </row>
    <row r="39" spans="1:11" x14ac:dyDescent="0.3">
      <c r="A39" s="25"/>
      <c r="B39" s="21"/>
      <c r="C39" s="25"/>
      <c r="D39" s="21"/>
      <c r="E39" s="21"/>
      <c r="F39" s="21"/>
      <c r="G39" s="25"/>
      <c r="J39" s="182"/>
    </row>
    <row r="40" spans="1:11" x14ac:dyDescent="0.3">
      <c r="A40" s="25"/>
      <c r="B40" s="21"/>
      <c r="C40" s="25"/>
      <c r="D40" s="21"/>
      <c r="E40" s="21"/>
      <c r="F40" s="21"/>
      <c r="G40" s="25"/>
      <c r="H40" s="21"/>
      <c r="I40" s="183"/>
      <c r="J40" s="182"/>
    </row>
    <row r="41" spans="1:11" x14ac:dyDescent="0.3">
      <c r="F41" s="21"/>
      <c r="G41" s="25"/>
      <c r="H41" s="21"/>
      <c r="I41" s="183"/>
      <c r="J41" s="182"/>
    </row>
    <row r="42" spans="1:11" x14ac:dyDescent="0.3">
      <c r="A42" s="21"/>
      <c r="B42" s="21"/>
      <c r="C42" s="25"/>
      <c r="D42" s="21"/>
      <c r="E42" s="25"/>
      <c r="F42" s="21"/>
      <c r="G42" s="21"/>
      <c r="H42" s="21"/>
      <c r="I42" s="183"/>
      <c r="J42" s="182"/>
    </row>
    <row r="43" spans="1:11" x14ac:dyDescent="0.3">
      <c r="A43" s="21"/>
      <c r="B43" s="21"/>
      <c r="C43" s="25"/>
      <c r="D43" s="21"/>
      <c r="E43" s="25"/>
      <c r="F43" s="21"/>
      <c r="G43" s="21"/>
      <c r="H43" s="21"/>
      <c r="I43" s="183"/>
      <c r="J43" s="182"/>
    </row>
    <row r="44" spans="1:11" x14ac:dyDescent="0.3">
      <c r="A44" s="21"/>
      <c r="B44" s="21"/>
      <c r="C44" s="25"/>
      <c r="D44" s="21"/>
      <c r="E44" s="25"/>
      <c r="F44" s="21"/>
      <c r="G44" s="21"/>
      <c r="H44" s="21"/>
      <c r="I44" s="183"/>
      <c r="J44" s="182"/>
    </row>
    <row r="45" spans="1:11" x14ac:dyDescent="0.3">
      <c r="A45" s="21"/>
      <c r="B45" s="21"/>
      <c r="C45" s="25"/>
      <c r="D45" s="21"/>
      <c r="E45" s="25"/>
      <c r="F45" s="21"/>
      <c r="G45" s="21"/>
      <c r="H45" s="21"/>
      <c r="I45" s="183"/>
      <c r="J45" s="182"/>
    </row>
    <row r="46" spans="1:11" x14ac:dyDescent="0.3">
      <c r="A46" s="21"/>
      <c r="B46" s="21"/>
      <c r="C46" s="25"/>
      <c r="D46" s="21"/>
      <c r="E46" s="25"/>
      <c r="F46" s="21"/>
      <c r="G46" s="21"/>
      <c r="H46" s="21"/>
      <c r="I46" s="183"/>
      <c r="J46" s="182"/>
    </row>
  </sheetData>
  <mergeCells count="8">
    <mergeCell ref="K28:K30"/>
    <mergeCell ref="K22:K24"/>
    <mergeCell ref="K25:K27"/>
    <mergeCell ref="A2:D2"/>
    <mergeCell ref="I11:J11"/>
    <mergeCell ref="K13:K15"/>
    <mergeCell ref="K16:K18"/>
    <mergeCell ref="K19:K21"/>
  </mergeCells>
  <hyperlinks>
    <hyperlink ref="I11" location="Scoreboard!A1" display="Return To Scoreboard" xr:uid="{00000000-0004-0000-05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Scoreboard!$C$4:$C$19</xm:f>
          </x14:formula1>
          <xm:sqref>L13:L30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720A-27EF-4EF5-B80B-543117CA0C8C}">
  <sheetPr codeName="Sheet7"/>
  <dimension ref="A1:O20"/>
  <sheetViews>
    <sheetView showGridLines="0" showRowColHeaders="0" zoomScale="160" zoomScaleNormal="160" workbookViewId="0">
      <selection activeCell="L13" sqref="L13:O15"/>
    </sheetView>
  </sheetViews>
  <sheetFormatPr defaultRowHeight="14.4" x14ac:dyDescent="0.3"/>
  <cols>
    <col min="1" max="1" width="3.33203125" customWidth="1"/>
    <col min="2" max="2" width="5.33203125" customWidth="1"/>
    <col min="3" max="3" width="16.44140625" bestFit="1" customWidth="1"/>
    <col min="4" max="4" width="8.88671875" hidden="1" customWidth="1"/>
    <col min="10" max="10" width="12.88671875" customWidth="1"/>
    <col min="11" max="11" width="8.21875" customWidth="1"/>
    <col min="12" max="12" width="6.33203125" customWidth="1"/>
    <col min="13" max="13" width="19.21875" customWidth="1"/>
    <col min="14" max="14" width="8.88671875" hidden="1" customWidth="1"/>
  </cols>
  <sheetData>
    <row r="1" spans="1:15" ht="8.1" customHeight="1" x14ac:dyDescent="0.3"/>
    <row r="2" spans="1:15" ht="15.6" thickBot="1" x14ac:dyDescent="0.35">
      <c r="J2" s="317" t="s">
        <v>216</v>
      </c>
    </row>
    <row r="3" spans="1:15" ht="19.5" thickTop="1" thickBot="1" x14ac:dyDescent="0.4">
      <c r="C3" s="304" t="s">
        <v>192</v>
      </c>
      <c r="D3" s="305" t="s">
        <v>204</v>
      </c>
      <c r="E3" s="305" t="s">
        <v>200</v>
      </c>
      <c r="F3" s="305" t="s">
        <v>201</v>
      </c>
      <c r="G3" s="305" t="s">
        <v>202</v>
      </c>
      <c r="H3" s="305" t="s">
        <v>203</v>
      </c>
      <c r="I3" s="305" t="s">
        <v>5</v>
      </c>
      <c r="J3" s="306" t="s">
        <v>206</v>
      </c>
      <c r="L3" s="362" t="s">
        <v>199</v>
      </c>
      <c r="M3" s="363"/>
      <c r="N3" s="363"/>
      <c r="O3" s="364"/>
    </row>
    <row r="4" spans="1:15" ht="16.95" thickTop="1" thickBot="1" x14ac:dyDescent="0.35">
      <c r="A4" s="235" t="str" cm="1">
        <f t="array" ref="A4:A19">IF(COUNTIF($B$4:$B$19,$B$4:$B$19)&gt;1,"Tie","")</f>
        <v/>
      </c>
      <c r="B4" s="173">
        <f>_xlfn.RANK.EQ($I$4:$I$20,$I$4:$I$19,0)+COUNTIFS($I$4:$I$19,I4,$J$4:$J$19,"&gt;"&amp;J4)</f>
        <v>16</v>
      </c>
      <c r="C4" s="307" t="s">
        <v>221</v>
      </c>
      <c r="D4" s="308">
        <f ca="1">_xlfn.XLOOKUP(Table7[[#This Row],[Team]],Scoreboard[[  ]],Scoreboard[TOTAL],"",0)</f>
        <v>6.5</v>
      </c>
      <c r="E4" s="308">
        <v>1</v>
      </c>
      <c r="F4" s="308">
        <v>1</v>
      </c>
      <c r="G4" s="308">
        <v>0</v>
      </c>
      <c r="H4" s="308">
        <v>0</v>
      </c>
      <c r="I4" s="309">
        <f t="shared" ref="I4:I19" si="0">SUM(E4:H4)</f>
        <v>2</v>
      </c>
      <c r="J4" s="310">
        <f t="shared" ref="J4:J19" si="1">F4+H4</f>
        <v>1</v>
      </c>
      <c r="L4" s="321">
        <v>1</v>
      </c>
      <c r="M4" s="322" t="str">
        <f t="shared" ref="M4:M11" si="2">IFERROR(VLOOKUP(L4,$B$4:$C$19,2,FALSE),"")</f>
        <v>Ty &amp; Angela</v>
      </c>
      <c r="N4">
        <v>10</v>
      </c>
      <c r="O4" s="323">
        <f>IFERROR(VLOOKUP(M4,Table7[],7,FALSE),"")</f>
        <v>22</v>
      </c>
    </row>
    <row r="5" spans="1:15" ht="16.350000000000001" thickBot="1" x14ac:dyDescent="0.35">
      <c r="A5" s="235" t="str">
        <v>Tie</v>
      </c>
      <c r="B5" s="173">
        <f t="shared" ref="B5:B19" si="3">_xlfn.RANK.EQ($I$4:$I$20,$I$4:$I$19,0)+COUNTIFS($I$4:$I$19,I5,$J$4:$J$19,"&gt;"&amp;J5)</f>
        <v>8</v>
      </c>
      <c r="C5" s="307" t="s">
        <v>217</v>
      </c>
      <c r="D5" s="308">
        <f ca="1">_xlfn.XLOOKUP(Table7[[#This Row],[Team]],Scoreboard[[  ]],Scoreboard[TOTAL],"",0)</f>
        <v>13.5</v>
      </c>
      <c r="E5" s="308">
        <v>3</v>
      </c>
      <c r="F5" s="308">
        <v>1</v>
      </c>
      <c r="G5" s="308">
        <v>3</v>
      </c>
      <c r="H5" s="308">
        <v>3</v>
      </c>
      <c r="I5" s="309">
        <f t="shared" si="0"/>
        <v>10</v>
      </c>
      <c r="J5" s="310">
        <f t="shared" si="1"/>
        <v>4</v>
      </c>
      <c r="L5" s="301">
        <v>2</v>
      </c>
      <c r="M5" s="319" t="str">
        <f t="shared" si="2"/>
        <v>Brady &amp; Paige</v>
      </c>
      <c r="N5">
        <v>8</v>
      </c>
      <c r="O5" s="298">
        <f>IFERROR(VLOOKUP(M5,Table7[],7,FALSE),"")</f>
        <v>18</v>
      </c>
    </row>
    <row r="6" spans="1:15" ht="16.350000000000001" thickBot="1" x14ac:dyDescent="0.35">
      <c r="A6" s="235" t="str">
        <v/>
      </c>
      <c r="B6" s="173">
        <f t="shared" si="3"/>
        <v>13</v>
      </c>
      <c r="C6" s="307" t="s">
        <v>215</v>
      </c>
      <c r="D6" s="308">
        <f ca="1">_xlfn.XLOOKUP(Table7[[#This Row],[Team]],Scoreboard[[  ]],Scoreboard[TOTAL],"",0)</f>
        <v>13</v>
      </c>
      <c r="E6" s="308">
        <v>1</v>
      </c>
      <c r="F6" s="308">
        <v>1</v>
      </c>
      <c r="G6" s="308">
        <v>1</v>
      </c>
      <c r="H6" s="308">
        <v>3</v>
      </c>
      <c r="I6" s="309">
        <f t="shared" si="0"/>
        <v>6</v>
      </c>
      <c r="J6" s="310">
        <f t="shared" si="1"/>
        <v>4</v>
      </c>
      <c r="L6" s="300">
        <v>3</v>
      </c>
      <c r="M6" s="318" t="str">
        <f t="shared" si="2"/>
        <v>Mitch &amp; Katelyn</v>
      </c>
      <c r="N6">
        <v>6</v>
      </c>
      <c r="O6" s="297">
        <f>IFERROR(VLOOKUP(M6,Table7[],7,FALSE),"")</f>
        <v>18</v>
      </c>
    </row>
    <row r="7" spans="1:15" ht="16.350000000000001" thickBot="1" x14ac:dyDescent="0.35">
      <c r="A7" s="235" t="str">
        <v/>
      </c>
      <c r="B7" s="173">
        <f t="shared" si="3"/>
        <v>10</v>
      </c>
      <c r="C7" s="307" t="s">
        <v>242</v>
      </c>
      <c r="D7" s="308">
        <f ca="1">_xlfn.XLOOKUP(Table7[[#This Row],[Team]],Scoreboard[[  ]],Scoreboard[TOTAL],"",0)</f>
        <v>9</v>
      </c>
      <c r="E7" s="308">
        <v>3</v>
      </c>
      <c r="F7" s="308">
        <v>1</v>
      </c>
      <c r="G7" s="308">
        <v>5</v>
      </c>
      <c r="H7" s="308">
        <v>1</v>
      </c>
      <c r="I7" s="309">
        <f t="shared" si="0"/>
        <v>10</v>
      </c>
      <c r="J7" s="310">
        <f t="shared" si="1"/>
        <v>2</v>
      </c>
      <c r="L7" s="301">
        <v>4</v>
      </c>
      <c r="M7" s="319" t="str">
        <f t="shared" si="2"/>
        <v>Austin &amp; Shannon</v>
      </c>
      <c r="N7">
        <v>5</v>
      </c>
      <c r="O7" s="298">
        <f>IFERROR(VLOOKUP(M7,Table7[],7,FALSE),"")</f>
        <v>14</v>
      </c>
    </row>
    <row r="8" spans="1:15" ht="16.350000000000001" thickBot="1" x14ac:dyDescent="0.35">
      <c r="A8" s="235" t="str">
        <v/>
      </c>
      <c r="B8" s="173">
        <f t="shared" si="3"/>
        <v>6</v>
      </c>
      <c r="C8" s="307" t="s">
        <v>181</v>
      </c>
      <c r="D8" s="308">
        <f ca="1">_xlfn.XLOOKUP(Table7[[#This Row],[Team]],Scoreboard[[  ]],Scoreboard[TOTAL],"",0)</f>
        <v>19.5</v>
      </c>
      <c r="E8" s="308">
        <v>5</v>
      </c>
      <c r="F8" s="308">
        <v>1</v>
      </c>
      <c r="G8" s="308">
        <v>3</v>
      </c>
      <c r="H8" s="308">
        <v>3</v>
      </c>
      <c r="I8" s="309">
        <f t="shared" si="0"/>
        <v>12</v>
      </c>
      <c r="J8" s="310">
        <f t="shared" si="1"/>
        <v>4</v>
      </c>
      <c r="L8" s="300">
        <v>5</v>
      </c>
      <c r="M8" s="318" t="str">
        <f t="shared" si="2"/>
        <v>Thadd &amp; Jordan</v>
      </c>
      <c r="N8">
        <v>4</v>
      </c>
      <c r="O8" s="297">
        <f>IFERROR(VLOOKUP(M8,Table7[],7,FALSE),"")</f>
        <v>12</v>
      </c>
    </row>
    <row r="9" spans="1:15" ht="16.350000000000001" thickBot="1" x14ac:dyDescent="0.35">
      <c r="A9" s="235" t="str">
        <v/>
      </c>
      <c r="B9" s="173">
        <f t="shared" si="3"/>
        <v>15</v>
      </c>
      <c r="C9" s="307" t="s">
        <v>197</v>
      </c>
      <c r="D9" s="308">
        <f ca="1">_xlfn.XLOOKUP(Table7[[#This Row],[Team]],Scoreboard[[  ]],Scoreboard[TOTAL],"",0)</f>
        <v>8</v>
      </c>
      <c r="E9" s="308">
        <v>-1</v>
      </c>
      <c r="F9" s="308">
        <v>1</v>
      </c>
      <c r="G9" s="308">
        <v>3</v>
      </c>
      <c r="H9" s="308">
        <v>0</v>
      </c>
      <c r="I9" s="309">
        <f t="shared" si="0"/>
        <v>3</v>
      </c>
      <c r="J9" s="310">
        <f t="shared" si="1"/>
        <v>1</v>
      </c>
      <c r="L9" s="301">
        <v>6</v>
      </c>
      <c r="M9" s="319" t="str">
        <f t="shared" si="2"/>
        <v>Trevor &amp; Kristina</v>
      </c>
      <c r="N9">
        <v>3</v>
      </c>
      <c r="O9" s="298">
        <f>IFERROR(VLOOKUP(M9,Table7[],7,FALSE),"")</f>
        <v>12</v>
      </c>
    </row>
    <row r="10" spans="1:15" ht="16.350000000000001" thickBot="1" x14ac:dyDescent="0.35">
      <c r="A10" s="235" t="str">
        <v/>
      </c>
      <c r="B10" s="173">
        <f t="shared" si="3"/>
        <v>7</v>
      </c>
      <c r="C10" s="307" t="s">
        <v>222</v>
      </c>
      <c r="D10" s="308">
        <f ca="1">_xlfn.XLOOKUP(Table7[[#This Row],[Team]],Scoreboard[[  ]],Scoreboard[TOTAL],"",0)</f>
        <v>23</v>
      </c>
      <c r="E10" s="308">
        <v>1</v>
      </c>
      <c r="F10" s="308">
        <v>5</v>
      </c>
      <c r="G10" s="308">
        <v>3</v>
      </c>
      <c r="H10" s="308">
        <v>1</v>
      </c>
      <c r="I10" s="309">
        <f t="shared" si="0"/>
        <v>10</v>
      </c>
      <c r="J10" s="310">
        <f t="shared" si="1"/>
        <v>6</v>
      </c>
      <c r="L10" s="300">
        <v>7</v>
      </c>
      <c r="M10" s="318" t="str">
        <f t="shared" si="2"/>
        <v>B-Dave &amp; Halley</v>
      </c>
      <c r="N10">
        <v>2</v>
      </c>
      <c r="O10" s="297">
        <f>IFERROR(VLOOKUP(M10,Table7[],7,FALSE),"")</f>
        <v>10</v>
      </c>
    </row>
    <row r="11" spans="1:15" ht="16.350000000000001" thickBot="1" x14ac:dyDescent="0.35">
      <c r="A11" s="235" t="str">
        <v/>
      </c>
      <c r="B11" s="173">
        <f t="shared" si="3"/>
        <v>2</v>
      </c>
      <c r="C11" s="307" t="s">
        <v>219</v>
      </c>
      <c r="D11" s="308">
        <f ca="1">_xlfn.XLOOKUP(Table7[[#This Row],[Team]],Scoreboard[[  ]],Scoreboard[TOTAL],"",0)</f>
        <v>50.5</v>
      </c>
      <c r="E11" s="308">
        <v>5</v>
      </c>
      <c r="F11" s="308">
        <v>5</v>
      </c>
      <c r="G11" s="308">
        <v>1</v>
      </c>
      <c r="H11" s="308">
        <v>7</v>
      </c>
      <c r="I11" s="309">
        <f t="shared" si="0"/>
        <v>18</v>
      </c>
      <c r="J11" s="310">
        <f t="shared" si="1"/>
        <v>12</v>
      </c>
      <c r="L11" s="302">
        <v>8</v>
      </c>
      <c r="M11" s="320" t="str">
        <f t="shared" si="2"/>
        <v>Jon &amp; Kendra</v>
      </c>
      <c r="N11">
        <v>1</v>
      </c>
      <c r="O11" s="299">
        <f>IFERROR(VLOOKUP(M11,Table7[],7,FALSE),"")</f>
        <v>10</v>
      </c>
    </row>
    <row r="12" spans="1:15" ht="16.350000000000001" thickBot="1" x14ac:dyDescent="0.35">
      <c r="A12" s="235" t="str">
        <v/>
      </c>
      <c r="B12" s="173">
        <f t="shared" si="3"/>
        <v>3</v>
      </c>
      <c r="C12" s="307" t="s">
        <v>163</v>
      </c>
      <c r="D12" s="308">
        <f ca="1">_xlfn.XLOOKUP(Table7[[#This Row],[Team]],Scoreboard[[  ]],Scoreboard[TOTAL],"",0)</f>
        <v>23.5</v>
      </c>
      <c r="E12" s="308">
        <v>5</v>
      </c>
      <c r="F12" s="308">
        <v>7</v>
      </c>
      <c r="G12" s="308">
        <v>3</v>
      </c>
      <c r="H12" s="308">
        <v>3</v>
      </c>
      <c r="I12" s="309">
        <f t="shared" si="0"/>
        <v>18</v>
      </c>
      <c r="J12" s="310">
        <f t="shared" si="1"/>
        <v>10</v>
      </c>
    </row>
    <row r="13" spans="1:15" ht="16.2" thickBot="1" x14ac:dyDescent="0.35">
      <c r="A13" s="235" t="str">
        <v/>
      </c>
      <c r="B13" s="173">
        <f t="shared" si="3"/>
        <v>11</v>
      </c>
      <c r="C13" s="307" t="s">
        <v>35</v>
      </c>
      <c r="D13" s="308">
        <f ca="1">_xlfn.XLOOKUP(Table7[[#This Row],[Team]],Scoreboard[[  ]],Scoreboard[TOTAL],"",0)</f>
        <v>14</v>
      </c>
      <c r="E13" s="308">
        <v>1</v>
      </c>
      <c r="F13" s="308">
        <v>1</v>
      </c>
      <c r="G13" s="308">
        <v>0</v>
      </c>
      <c r="H13" s="308">
        <v>7</v>
      </c>
      <c r="I13" s="309">
        <f t="shared" si="0"/>
        <v>9</v>
      </c>
      <c r="J13" s="310">
        <f t="shared" si="1"/>
        <v>8</v>
      </c>
      <c r="L13" s="365" t="s">
        <v>68</v>
      </c>
      <c r="M13" s="365"/>
      <c r="N13" s="365"/>
      <c r="O13" s="365"/>
    </row>
    <row r="14" spans="1:15" ht="16.2" thickBot="1" x14ac:dyDescent="0.35">
      <c r="A14" s="235" t="str">
        <v/>
      </c>
      <c r="B14" s="173">
        <f t="shared" si="3"/>
        <v>5</v>
      </c>
      <c r="C14" s="307" t="s">
        <v>182</v>
      </c>
      <c r="D14" s="308">
        <f ca="1">_xlfn.XLOOKUP(Table7[[#This Row],[Team]],Scoreboard[[  ]],Scoreboard[TOTAL],"",0)</f>
        <v>31</v>
      </c>
      <c r="E14" s="308">
        <v>5</v>
      </c>
      <c r="F14" s="308">
        <v>3</v>
      </c>
      <c r="G14" s="308">
        <v>1</v>
      </c>
      <c r="H14" s="308">
        <v>3</v>
      </c>
      <c r="I14" s="309">
        <f t="shared" si="0"/>
        <v>12</v>
      </c>
      <c r="J14" s="310">
        <f t="shared" si="1"/>
        <v>6</v>
      </c>
      <c r="L14" s="365"/>
      <c r="M14" s="365"/>
      <c r="N14" s="365"/>
      <c r="O14" s="365"/>
    </row>
    <row r="15" spans="1:15" ht="16.2" thickBot="1" x14ac:dyDescent="0.35">
      <c r="A15" s="235" t="str">
        <v/>
      </c>
      <c r="B15" s="173">
        <f t="shared" si="3"/>
        <v>4</v>
      </c>
      <c r="C15" s="307" t="s">
        <v>180</v>
      </c>
      <c r="D15" s="308">
        <f ca="1">_xlfn.XLOOKUP(Table7[[#This Row],[Team]],Scoreboard[[  ]],Scoreboard[TOTAL],"",0)</f>
        <v>33</v>
      </c>
      <c r="E15" s="308">
        <v>-1</v>
      </c>
      <c r="F15" s="308">
        <v>3</v>
      </c>
      <c r="G15" s="308">
        <v>5</v>
      </c>
      <c r="H15" s="308">
        <v>7</v>
      </c>
      <c r="I15" s="309">
        <f t="shared" si="0"/>
        <v>14</v>
      </c>
      <c r="J15" s="310">
        <f t="shared" si="1"/>
        <v>10</v>
      </c>
      <c r="L15" s="365"/>
      <c r="M15" s="365"/>
      <c r="N15" s="365"/>
      <c r="O15" s="365"/>
    </row>
    <row r="16" spans="1:15" ht="16.350000000000001" thickBot="1" x14ac:dyDescent="0.35">
      <c r="A16" s="235" t="str">
        <v/>
      </c>
      <c r="B16" s="173">
        <f t="shared" si="3"/>
        <v>12</v>
      </c>
      <c r="C16" s="307" t="s">
        <v>220</v>
      </c>
      <c r="D16" s="308">
        <f ca="1">_xlfn.XLOOKUP(Table7[[#This Row],[Team]],Scoreboard[[  ]],Scoreboard[TOTAL],"",0)</f>
        <v>16</v>
      </c>
      <c r="E16" s="308">
        <v>1</v>
      </c>
      <c r="F16" s="308">
        <v>1</v>
      </c>
      <c r="G16" s="308">
        <v>3</v>
      </c>
      <c r="H16" s="308">
        <v>3</v>
      </c>
      <c r="I16" s="309">
        <f t="shared" si="0"/>
        <v>8</v>
      </c>
      <c r="J16" s="310">
        <f t="shared" si="1"/>
        <v>4</v>
      </c>
    </row>
    <row r="17" spans="1:12" ht="16.350000000000001" thickBot="1" x14ac:dyDescent="0.35">
      <c r="A17" s="235" t="str">
        <v/>
      </c>
      <c r="B17" s="173">
        <f t="shared" si="3"/>
        <v>1</v>
      </c>
      <c r="C17" s="307" t="s">
        <v>198</v>
      </c>
      <c r="D17" s="308">
        <f ca="1">_xlfn.XLOOKUP(Table7[[#This Row],[Team]],Scoreboard[[  ]],Scoreboard[TOTAL],"",0)</f>
        <v>37.5</v>
      </c>
      <c r="E17" s="308">
        <v>1</v>
      </c>
      <c r="F17" s="308">
        <v>1</v>
      </c>
      <c r="G17" s="308">
        <v>10</v>
      </c>
      <c r="H17" s="308">
        <v>10</v>
      </c>
      <c r="I17" s="309">
        <f t="shared" si="0"/>
        <v>22</v>
      </c>
      <c r="J17" s="310">
        <f t="shared" si="1"/>
        <v>11</v>
      </c>
    </row>
    <row r="18" spans="1:12" ht="16.350000000000001" thickBot="1" x14ac:dyDescent="0.35">
      <c r="A18" s="235" t="str">
        <v>Tie</v>
      </c>
      <c r="B18" s="173">
        <f t="shared" si="3"/>
        <v>8</v>
      </c>
      <c r="C18" s="307" t="s">
        <v>132</v>
      </c>
      <c r="D18" s="308">
        <f ca="1">_xlfn.XLOOKUP(Table7[[#This Row],[Team]],Scoreboard[[  ]],Scoreboard[TOTAL],"",0)</f>
        <v>33</v>
      </c>
      <c r="E18" s="308">
        <v>-1</v>
      </c>
      <c r="F18" s="308">
        <v>-1</v>
      </c>
      <c r="G18" s="308">
        <v>7</v>
      </c>
      <c r="H18" s="308">
        <v>5</v>
      </c>
      <c r="I18" s="309">
        <f t="shared" si="0"/>
        <v>10</v>
      </c>
      <c r="J18" s="310">
        <f t="shared" si="1"/>
        <v>4</v>
      </c>
    </row>
    <row r="19" spans="1:12" ht="16.350000000000001" thickBot="1" x14ac:dyDescent="0.35">
      <c r="A19" s="235" t="str">
        <v/>
      </c>
      <c r="B19" s="173">
        <f t="shared" si="3"/>
        <v>14</v>
      </c>
      <c r="C19" s="307" t="s">
        <v>25</v>
      </c>
      <c r="D19" s="311">
        <f ca="1">_xlfn.XLOOKUP(Table7[[#This Row],[Team]],Scoreboard[[  ]],Scoreboard[TOTAL],"",0)</f>
        <v>70</v>
      </c>
      <c r="E19" s="311">
        <v>0</v>
      </c>
      <c r="F19" s="311">
        <v>-1</v>
      </c>
      <c r="G19" s="311">
        <v>1</v>
      </c>
      <c r="H19" s="311">
        <v>5</v>
      </c>
      <c r="I19" s="312">
        <f t="shared" si="0"/>
        <v>5</v>
      </c>
      <c r="J19" s="313">
        <f t="shared" si="1"/>
        <v>4</v>
      </c>
      <c r="L19" s="8"/>
    </row>
    <row r="20" spans="1:12" ht="16.350000000000001" thickTop="1" x14ac:dyDescent="0.3">
      <c r="I20" s="296" t="s">
        <v>218</v>
      </c>
      <c r="J20" s="303">
        <f>IFERROR(VLOOKUP("Tie",$A$4:$B$19,2,FALSE),"No")</f>
        <v>8</v>
      </c>
    </row>
  </sheetData>
  <sortState xmlns:xlrd2="http://schemas.microsoft.com/office/spreadsheetml/2017/richdata2" ref="C4:J19">
    <sortCondition ref="C4:C19"/>
  </sortState>
  <mergeCells count="2">
    <mergeCell ref="L3:O3"/>
    <mergeCell ref="L13:O15"/>
  </mergeCells>
  <phoneticPr fontId="59" type="noConversion"/>
  <hyperlinks>
    <hyperlink ref="L13" location="Scoreboard!A1" display="Return to Scoreboard" xr:uid="{DAB92CE1-3A4D-42BA-8341-C64C0591A13F}"/>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90"/>
  <sheetViews>
    <sheetView showGridLines="0" showRowColHeaders="0" showZeros="0" topLeftCell="A8" zoomScale="65" zoomScaleNormal="65" workbookViewId="0">
      <selection activeCell="Q10" sqref="Q10:V12"/>
    </sheetView>
  </sheetViews>
  <sheetFormatPr defaultColWidth="8.5546875" defaultRowHeight="15.6" customHeight="1" x14ac:dyDescent="0.3"/>
  <cols>
    <col min="1" max="1" width="5.33203125" style="66" customWidth="1"/>
    <col min="2" max="2" width="20" style="66" customWidth="1"/>
    <col min="3" max="3" width="4.5546875" style="66" customWidth="1"/>
    <col min="4" max="4" width="21.109375" style="66" customWidth="1"/>
    <col min="5" max="5" width="4.44140625" style="66" customWidth="1"/>
    <col min="6" max="6" width="21.109375" style="66" customWidth="1"/>
    <col min="7" max="7" width="4.44140625" style="66" customWidth="1"/>
    <col min="8" max="8" width="21.109375" style="66" customWidth="1"/>
    <col min="9" max="9" width="4.44140625" style="66" customWidth="1"/>
    <col min="10" max="10" width="21.109375" style="66" customWidth="1"/>
    <col min="11" max="11" width="4.44140625" style="66" customWidth="1"/>
    <col min="12" max="12" width="21.109375" style="66" customWidth="1"/>
    <col min="13" max="13" width="4.44140625" style="66" customWidth="1"/>
    <col min="14" max="14" width="21.109375" style="66" customWidth="1"/>
    <col min="15" max="16" width="8.5546875" style="66"/>
    <col min="17" max="17" width="11.44140625" style="66" customWidth="1"/>
    <col min="18" max="18" width="8.5546875" style="66"/>
    <col min="19" max="19" width="3.109375" style="66" customWidth="1"/>
    <col min="20" max="21" width="0" style="66" hidden="1" customWidth="1"/>
    <col min="22" max="22" width="22.21875" style="66" customWidth="1"/>
    <col min="23" max="24" width="8.5546875" style="66"/>
    <col min="25" max="26" width="0" style="66" hidden="1" customWidth="1"/>
    <col min="27" max="16384" width="8.5546875" style="66"/>
  </cols>
  <sheetData>
    <row r="1" spans="1:22" ht="15.6" hidden="1" customHeight="1" x14ac:dyDescent="0.3">
      <c r="A1" s="131"/>
      <c r="B1" s="131"/>
      <c r="C1" s="131"/>
      <c r="D1" s="132"/>
      <c r="E1" s="78"/>
      <c r="F1" s="132"/>
      <c r="G1" s="78"/>
      <c r="H1" s="132"/>
      <c r="I1" s="132"/>
      <c r="J1" s="133" t="b">
        <v>1</v>
      </c>
      <c r="K1" s="78"/>
      <c r="L1" s="132"/>
      <c r="M1" s="132"/>
      <c r="N1" s="132"/>
    </row>
    <row r="2" spans="1:22" ht="15.6" hidden="1" customHeight="1" x14ac:dyDescent="0.3">
      <c r="A2" s="328"/>
      <c r="B2" s="328"/>
      <c r="C2" s="328"/>
      <c r="D2" s="328"/>
      <c r="E2" s="17"/>
      <c r="F2" s="16"/>
      <c r="G2" s="17"/>
      <c r="H2" s="134"/>
      <c r="I2" s="16"/>
      <c r="J2" s="133" t="b">
        <v>1</v>
      </c>
      <c r="K2" s="17"/>
      <c r="L2" s="132"/>
      <c r="M2" s="16"/>
      <c r="N2" s="135"/>
    </row>
    <row r="3" spans="1:22" ht="15.6" hidden="1" customHeight="1" x14ac:dyDescent="0.3"/>
    <row r="4" spans="1:22" ht="15.6" hidden="1" customHeight="1" x14ac:dyDescent="0.5">
      <c r="A4" s="11" t="s">
        <v>77</v>
      </c>
      <c r="B4" s="11"/>
      <c r="C4" s="11"/>
      <c r="D4" s="12"/>
      <c r="E4" s="13"/>
      <c r="F4" s="13"/>
      <c r="G4" s="13"/>
      <c r="H4" s="13"/>
      <c r="I4" s="13"/>
      <c r="J4" s="12"/>
      <c r="K4" s="13"/>
      <c r="L4" s="13"/>
      <c r="M4" s="13"/>
      <c r="N4" s="13"/>
    </row>
    <row r="5" spans="1:22" ht="15.6" hidden="1" customHeight="1" x14ac:dyDescent="0.3">
      <c r="J5" s="14"/>
    </row>
    <row r="6" spans="1:22" ht="15.6" hidden="1" customHeight="1" x14ac:dyDescent="0.3">
      <c r="J6" s="14"/>
    </row>
    <row r="7" spans="1:22" ht="15.6" hidden="1" customHeight="1" x14ac:dyDescent="0.3">
      <c r="J7" s="14"/>
    </row>
    <row r="8" spans="1:22" ht="15.6" customHeight="1" x14ac:dyDescent="0.3">
      <c r="J8" s="14"/>
    </row>
    <row r="9" spans="1:22" ht="15.6" customHeight="1" thickBot="1" x14ac:dyDescent="0.35">
      <c r="B9" s="136"/>
      <c r="C9" s="157">
        <f>IF($J$2=TRUE,1,"")</f>
        <v>1</v>
      </c>
      <c r="D9" s="146"/>
      <c r="E9" s="151"/>
      <c r="F9" s="137"/>
      <c r="G9" s="138"/>
      <c r="H9" s="137"/>
      <c r="I9" s="137"/>
      <c r="J9" s="137"/>
      <c r="K9" s="17"/>
      <c r="L9" s="16"/>
      <c r="M9" s="16"/>
      <c r="N9" s="16"/>
    </row>
    <row r="10" spans="1:22" ht="17.100000000000001" customHeight="1" thickBot="1" x14ac:dyDescent="0.45">
      <c r="B10" s="144"/>
      <c r="C10" s="136"/>
      <c r="D10" s="139"/>
      <c r="E10" s="140"/>
      <c r="F10" s="137"/>
      <c r="G10" s="138"/>
      <c r="H10" s="137"/>
      <c r="I10" s="137"/>
      <c r="J10" s="137"/>
      <c r="K10" s="17"/>
      <c r="L10" s="16"/>
      <c r="M10" s="16" t="s">
        <v>108</v>
      </c>
      <c r="N10" s="80"/>
      <c r="Q10" s="332" t="s">
        <v>68</v>
      </c>
      <c r="R10" s="332"/>
      <c r="S10" s="332"/>
      <c r="T10" s="332"/>
      <c r="U10" s="332"/>
      <c r="V10" s="332"/>
    </row>
    <row r="11" spans="1:22" ht="15.6" customHeight="1" x14ac:dyDescent="0.3">
      <c r="B11" s="136"/>
      <c r="C11" s="136"/>
      <c r="D11" s="139"/>
      <c r="E11" s="74"/>
      <c r="F11" s="137"/>
      <c r="G11" s="138"/>
      <c r="H11" s="137"/>
      <c r="I11" s="137"/>
      <c r="J11" s="137"/>
      <c r="K11" s="17"/>
      <c r="L11" s="16"/>
      <c r="M11" s="16"/>
      <c r="N11" s="58" t="s">
        <v>13</v>
      </c>
      <c r="Q11" s="332"/>
      <c r="R11" s="332"/>
      <c r="S11" s="332"/>
      <c r="T11" s="332"/>
      <c r="U11" s="332"/>
      <c r="V11" s="332"/>
    </row>
    <row r="12" spans="1:22" ht="15.6" customHeight="1" thickBot="1" x14ac:dyDescent="0.35">
      <c r="A12" s="16"/>
      <c r="B12" s="137"/>
      <c r="C12" s="137"/>
      <c r="D12" s="141">
        <f>IF($J$1=TRUE,$B$48+1,"")</f>
        <v>8</v>
      </c>
      <c r="E12" s="136"/>
      <c r="F12" s="142"/>
      <c r="G12" s="151"/>
      <c r="H12" s="137"/>
      <c r="I12" s="137"/>
      <c r="J12" s="137"/>
      <c r="K12" s="17"/>
      <c r="L12" s="16"/>
      <c r="M12" s="18"/>
      <c r="N12" s="18"/>
      <c r="Q12" s="332"/>
      <c r="R12" s="332"/>
      <c r="S12" s="332"/>
      <c r="T12" s="332"/>
      <c r="U12" s="332"/>
      <c r="V12" s="332"/>
    </row>
    <row r="13" spans="1:22" ht="16.8" customHeight="1" thickBot="1" x14ac:dyDescent="0.45">
      <c r="A13" s="16"/>
      <c r="B13" s="137" t="s">
        <v>6</v>
      </c>
      <c r="C13" s="137"/>
      <c r="D13" s="29"/>
      <c r="E13" s="74"/>
      <c r="F13" s="137"/>
      <c r="G13" s="143"/>
      <c r="H13" s="137"/>
      <c r="I13" s="137"/>
      <c r="J13" s="137"/>
      <c r="K13" s="17"/>
      <c r="L13" s="16"/>
      <c r="M13" s="16" t="s">
        <v>109</v>
      </c>
      <c r="N13" s="80"/>
    </row>
    <row r="14" spans="1:22" ht="15.6" customHeight="1" thickBot="1" x14ac:dyDescent="0.35">
      <c r="A14" s="127">
        <f>IF($J$2=TRUE,8,"")</f>
        <v>8</v>
      </c>
      <c r="B14" s="146"/>
      <c r="C14" s="151"/>
      <c r="D14" s="29"/>
      <c r="E14" s="74"/>
      <c r="F14" s="137"/>
      <c r="G14" s="143"/>
      <c r="H14" s="137"/>
      <c r="I14" s="137"/>
      <c r="J14" s="137"/>
      <c r="K14" s="17"/>
      <c r="L14" s="16"/>
      <c r="M14" s="16"/>
      <c r="N14" s="205" t="s">
        <v>14</v>
      </c>
    </row>
    <row r="15" spans="1:22" ht="15.6" customHeight="1" thickBot="1" x14ac:dyDescent="0.45">
      <c r="A15" s="128"/>
      <c r="B15" s="144">
        <f>IF($J$1=TRUE,B9+1,"")</f>
        <v>1</v>
      </c>
      <c r="C15" s="81"/>
      <c r="D15" s="15"/>
      <c r="E15" s="153"/>
      <c r="F15" s="137"/>
      <c r="G15" s="145"/>
      <c r="H15" s="137"/>
      <c r="I15" s="137"/>
      <c r="J15" s="137" t="s">
        <v>6</v>
      </c>
      <c r="K15" s="17" t="s">
        <v>75</v>
      </c>
      <c r="L15" s="80"/>
      <c r="M15" s="53"/>
      <c r="N15" s="16"/>
    </row>
    <row r="16" spans="1:22" ht="15.6" customHeight="1" thickBot="1" x14ac:dyDescent="0.35">
      <c r="A16" s="127">
        <f>IF($J$2=TRUE,9,"")</f>
        <v>9</v>
      </c>
      <c r="B16" s="146"/>
      <c r="C16" s="153"/>
      <c r="D16" s="147"/>
      <c r="E16" s="147"/>
      <c r="F16" s="136"/>
      <c r="G16" s="145"/>
      <c r="H16" s="137"/>
      <c r="I16" s="136"/>
      <c r="J16" s="136"/>
      <c r="K16" s="17"/>
      <c r="L16" s="16"/>
      <c r="M16" s="54"/>
      <c r="N16" s="16"/>
    </row>
    <row r="17" spans="1:26" ht="15.6" customHeight="1" x14ac:dyDescent="0.3">
      <c r="A17" s="127"/>
      <c r="B17" s="29"/>
      <c r="C17" s="137"/>
      <c r="D17" s="29"/>
      <c r="E17" s="29"/>
      <c r="F17" s="136"/>
      <c r="G17" s="145"/>
      <c r="H17" s="137"/>
      <c r="I17" s="136"/>
      <c r="J17" s="136"/>
      <c r="L17" s="16"/>
      <c r="M17" s="56" t="s">
        <v>54</v>
      </c>
      <c r="N17" s="16"/>
    </row>
    <row r="18" spans="1:26" ht="16.8" customHeight="1" thickBot="1" x14ac:dyDescent="0.4">
      <c r="A18" s="127"/>
      <c r="B18" s="29"/>
      <c r="C18" s="137"/>
      <c r="D18" s="29"/>
      <c r="E18" s="29"/>
      <c r="F18" s="136"/>
      <c r="G18" s="145"/>
      <c r="H18" s="137"/>
      <c r="I18" s="136"/>
      <c r="J18" s="136"/>
      <c r="L18" s="16"/>
      <c r="M18" s="57"/>
      <c r="N18" s="76"/>
    </row>
    <row r="19" spans="1:26" ht="15.6" customHeight="1" thickBot="1" x14ac:dyDescent="0.35">
      <c r="A19" s="127">
        <f>IF($J$2=TRUE,5,"")</f>
        <v>5</v>
      </c>
      <c r="B19" s="146"/>
      <c r="C19" s="151"/>
      <c r="D19" s="29"/>
      <c r="E19" s="29"/>
      <c r="F19" s="136"/>
      <c r="G19" s="145"/>
      <c r="H19" s="137"/>
      <c r="I19" s="136"/>
      <c r="J19" s="136"/>
      <c r="L19" s="16"/>
      <c r="M19" s="57"/>
      <c r="N19" s="58" t="s">
        <v>15</v>
      </c>
    </row>
    <row r="20" spans="1:26" ht="15.6" customHeight="1" thickBot="1" x14ac:dyDescent="0.45">
      <c r="A20" s="128"/>
      <c r="B20" s="144">
        <f>IF($J$1=TRUE,B15+1,"")</f>
        <v>2</v>
      </c>
      <c r="C20" s="81"/>
      <c r="D20" s="15"/>
      <c r="E20" s="151"/>
      <c r="F20" s="148">
        <f>IF($J$1=TRUE,D78+1,"")</f>
        <v>19</v>
      </c>
      <c r="G20" s="136"/>
      <c r="H20" s="149"/>
      <c r="I20" s="151"/>
      <c r="J20" s="137"/>
      <c r="K20" s="17" t="s">
        <v>80</v>
      </c>
      <c r="L20" s="80"/>
      <c r="M20" s="55"/>
    </row>
    <row r="21" spans="1:26" ht="16.8" customHeight="1" thickBot="1" x14ac:dyDescent="0.35">
      <c r="A21" s="127">
        <f>IF($J$2=TRUE,12,"")</f>
        <v>12</v>
      </c>
      <c r="B21" s="146"/>
      <c r="C21" s="153"/>
      <c r="D21" s="139"/>
      <c r="E21" s="140"/>
      <c r="F21" s="137"/>
      <c r="G21" s="145"/>
      <c r="H21" s="137"/>
      <c r="I21" s="145"/>
      <c r="J21" s="137"/>
      <c r="L21" s="16"/>
      <c r="M21" s="16"/>
      <c r="N21" s="121">
        <f>IF(N18=L15,L20,IF(N18=L20,L15,""))</f>
        <v>0</v>
      </c>
    </row>
    <row r="22" spans="1:26" ht="15.6" customHeight="1" x14ac:dyDescent="0.3">
      <c r="A22" s="127"/>
      <c r="B22" s="137"/>
      <c r="C22" s="137"/>
      <c r="D22" s="29"/>
      <c r="E22" s="74"/>
      <c r="F22" s="137"/>
      <c r="G22" s="145"/>
      <c r="H22" s="137"/>
      <c r="I22" s="145"/>
      <c r="J22" s="137"/>
      <c r="L22" s="16"/>
      <c r="M22" s="16"/>
      <c r="N22" s="126" t="s">
        <v>16</v>
      </c>
    </row>
    <row r="23" spans="1:26" ht="15.6" customHeight="1" thickBot="1" x14ac:dyDescent="0.45">
      <c r="A23" s="127"/>
      <c r="B23" s="137"/>
      <c r="C23" s="137"/>
      <c r="D23" s="148">
        <f>IF($J$1=TRUE,D12+1,"")</f>
        <v>9</v>
      </c>
      <c r="E23" s="136"/>
      <c r="F23" s="142"/>
      <c r="G23" s="153"/>
      <c r="H23" s="137"/>
      <c r="I23" s="145"/>
      <c r="J23" s="137"/>
      <c r="K23" s="67" t="s">
        <v>58</v>
      </c>
      <c r="L23" s="80"/>
      <c r="M23" s="53"/>
      <c r="N23" s="16"/>
    </row>
    <row r="24" spans="1:26" ht="15.6" customHeight="1" x14ac:dyDescent="0.3">
      <c r="A24" s="127"/>
      <c r="B24" s="137"/>
      <c r="C24" s="137"/>
      <c r="D24" s="29"/>
      <c r="E24" s="74"/>
      <c r="F24" s="137"/>
      <c r="G24" s="138"/>
      <c r="H24" s="137"/>
      <c r="I24" s="145"/>
      <c r="J24" s="137"/>
      <c r="L24" s="16"/>
      <c r="M24" s="54"/>
      <c r="N24" s="16"/>
    </row>
    <row r="25" spans="1:26" ht="16.8" customHeight="1" thickBot="1" x14ac:dyDescent="0.4">
      <c r="A25" s="127">
        <f>IF($J$2=TRUE,4,"")</f>
        <v>4</v>
      </c>
      <c r="B25" s="146"/>
      <c r="C25" s="151"/>
      <c r="D25" s="29"/>
      <c r="E25" s="74"/>
      <c r="F25" s="137"/>
      <c r="G25" s="138"/>
      <c r="H25" s="137"/>
      <c r="I25" s="145"/>
      <c r="J25" s="137"/>
      <c r="L25" s="16"/>
      <c r="M25" s="57"/>
      <c r="N25" s="76"/>
    </row>
    <row r="26" spans="1:26" ht="15.6" customHeight="1" thickBot="1" x14ac:dyDescent="0.35">
      <c r="A26" s="128"/>
      <c r="B26" s="144">
        <f>IF($J$1=TRUE,B20+1,"")</f>
        <v>3</v>
      </c>
      <c r="C26" s="81"/>
      <c r="D26" s="15"/>
      <c r="E26" s="153"/>
      <c r="F26" s="137"/>
      <c r="G26" s="138"/>
      <c r="H26" s="136"/>
      <c r="I26" s="145"/>
      <c r="J26" s="137"/>
      <c r="L26" s="16"/>
      <c r="M26" s="57"/>
      <c r="N26" s="58" t="s">
        <v>17</v>
      </c>
    </row>
    <row r="27" spans="1:26" ht="15.6" customHeight="1" thickBot="1" x14ac:dyDescent="0.45">
      <c r="A27" s="127">
        <f>IF($J$2=TRUE,13,"")</f>
        <v>13</v>
      </c>
      <c r="B27" s="146"/>
      <c r="C27" s="153"/>
      <c r="D27" s="147"/>
      <c r="E27" s="147"/>
      <c r="F27" s="148"/>
      <c r="G27" s="138"/>
      <c r="H27" s="136"/>
      <c r="I27" s="145"/>
      <c r="J27" s="137"/>
      <c r="K27" s="67" t="s">
        <v>76</v>
      </c>
      <c r="L27" s="80"/>
      <c r="M27" s="55"/>
      <c r="N27" s="16"/>
    </row>
    <row r="28" spans="1:26" ht="16.8" customHeight="1" x14ac:dyDescent="0.3">
      <c r="A28" s="127"/>
      <c r="B28" s="29"/>
      <c r="C28" s="137"/>
      <c r="D28" s="29"/>
      <c r="E28" s="29"/>
      <c r="F28" s="148"/>
      <c r="G28" s="138"/>
      <c r="H28" s="136"/>
      <c r="I28" s="145"/>
      <c r="J28" s="137"/>
      <c r="L28" s="16"/>
      <c r="M28" s="16"/>
      <c r="N28" s="121">
        <f>IF(N25=L23,L27,IF(N25=L27,L23,""))</f>
        <v>0</v>
      </c>
    </row>
    <row r="29" spans="1:26" ht="15.6" customHeight="1" x14ac:dyDescent="0.3">
      <c r="A29" s="127"/>
      <c r="B29" s="29"/>
      <c r="C29" s="137"/>
      <c r="D29" s="29"/>
      <c r="E29" s="29"/>
      <c r="F29" s="148"/>
      <c r="G29" s="138"/>
      <c r="H29" s="136"/>
      <c r="I29" s="145"/>
      <c r="J29" s="137"/>
      <c r="L29" s="16"/>
      <c r="M29" s="16"/>
      <c r="N29" s="126" t="s">
        <v>18</v>
      </c>
    </row>
    <row r="30" spans="1:26" ht="15.6" customHeight="1" thickBot="1" x14ac:dyDescent="0.35">
      <c r="A30" s="127">
        <f>IF($J$2=TRUE,3,"")</f>
        <v>3</v>
      </c>
      <c r="B30" s="146"/>
      <c r="C30" s="151"/>
      <c r="D30" s="29"/>
      <c r="E30" s="29"/>
      <c r="F30" s="148"/>
      <c r="G30" s="138"/>
      <c r="H30" s="136"/>
      <c r="I30" s="145"/>
      <c r="J30" s="137"/>
      <c r="K30" s="139"/>
      <c r="N30" s="16"/>
    </row>
    <row r="31" spans="1:26" ht="15.6" customHeight="1" thickBot="1" x14ac:dyDescent="0.35">
      <c r="A31" s="128"/>
      <c r="B31" s="144">
        <f>IF($J$1=TRUE,B26+1,"")</f>
        <v>4</v>
      </c>
      <c r="C31" s="81"/>
      <c r="D31" s="15"/>
      <c r="E31" s="151"/>
      <c r="F31" s="137"/>
      <c r="G31" s="138"/>
      <c r="H31" s="148">
        <f>IF($J$1=TRUE,H78+1,"")</f>
        <v>25</v>
      </c>
      <c r="I31" s="145"/>
      <c r="J31" s="149"/>
      <c r="K31" s="151"/>
      <c r="L31" s="16"/>
      <c r="M31" s="16"/>
    </row>
    <row r="32" spans="1:26" ht="15.6" customHeight="1" thickBot="1" x14ac:dyDescent="0.35">
      <c r="A32" s="127">
        <f>IF($J$2=TRUE,14,"")</f>
        <v>14</v>
      </c>
      <c r="B32" s="146"/>
      <c r="C32" s="153"/>
      <c r="D32" s="139"/>
      <c r="E32" s="145"/>
      <c r="F32" s="137"/>
      <c r="G32" s="138"/>
      <c r="H32" s="137"/>
      <c r="I32" s="145"/>
      <c r="J32" s="137"/>
      <c r="K32" s="27"/>
      <c r="L32" s="16"/>
      <c r="M32" s="16"/>
      <c r="Y32" s="251">
        <f>P36</f>
        <v>0</v>
      </c>
      <c r="Z32" s="251">
        <v>10</v>
      </c>
    </row>
    <row r="33" spans="1:26" ht="15.6" customHeight="1" x14ac:dyDescent="0.3">
      <c r="A33" s="127"/>
      <c r="B33" s="137"/>
      <c r="C33" s="137"/>
      <c r="D33" s="139"/>
      <c r="E33" s="145"/>
      <c r="F33" s="137"/>
      <c r="G33" s="138"/>
      <c r="H33" s="137"/>
      <c r="I33" s="145"/>
      <c r="J33" s="137"/>
      <c r="K33" s="27"/>
      <c r="L33" s="16"/>
      <c r="M33" s="16"/>
      <c r="Y33" s="251">
        <f>V36</f>
        <v>0</v>
      </c>
      <c r="Z33" s="251">
        <v>8</v>
      </c>
    </row>
    <row r="34" spans="1:26" ht="15.6" customHeight="1" thickBot="1" x14ac:dyDescent="0.35">
      <c r="A34" s="127"/>
      <c r="B34" s="137"/>
      <c r="C34" s="137"/>
      <c r="D34" s="148">
        <f>IF($J$1=TRUE,D23+1,"")</f>
        <v>10</v>
      </c>
      <c r="E34" s="136"/>
      <c r="F34" s="142"/>
      <c r="G34" s="151"/>
      <c r="H34" s="137"/>
      <c r="I34" s="145"/>
      <c r="J34" s="137"/>
      <c r="K34" s="27"/>
      <c r="L34" s="16"/>
      <c r="M34" s="16"/>
      <c r="Y34" s="251">
        <f>N10</f>
        <v>0</v>
      </c>
      <c r="Z34" s="251">
        <v>6</v>
      </c>
    </row>
    <row r="35" spans="1:26" ht="15.6" customHeight="1" x14ac:dyDescent="0.3">
      <c r="A35" s="127"/>
      <c r="B35" s="137"/>
      <c r="C35" s="137"/>
      <c r="D35" s="139"/>
      <c r="E35" s="145"/>
      <c r="F35" s="137"/>
      <c r="G35" s="140"/>
      <c r="H35" s="137"/>
      <c r="I35" s="145"/>
      <c r="J35" s="137"/>
      <c r="K35" s="27"/>
      <c r="L35" s="16"/>
      <c r="M35" s="16"/>
      <c r="Y35" s="251">
        <f>N13</f>
        <v>0</v>
      </c>
      <c r="Z35" s="251">
        <v>5</v>
      </c>
    </row>
    <row r="36" spans="1:26" ht="15.6" customHeight="1" thickBot="1" x14ac:dyDescent="0.35">
      <c r="A36" s="127">
        <f>IF($J$2=TRUE,6,"")</f>
        <v>6</v>
      </c>
      <c r="B36" s="146"/>
      <c r="C36" s="151"/>
      <c r="D36" s="139"/>
      <c r="E36" s="145"/>
      <c r="F36" s="137"/>
      <c r="G36" s="143"/>
      <c r="H36" s="137"/>
      <c r="I36" s="145"/>
      <c r="J36" s="137"/>
      <c r="K36" s="27"/>
      <c r="L36" s="16"/>
      <c r="M36" s="139"/>
      <c r="N36" s="45"/>
      <c r="P36" s="366"/>
      <c r="Q36" s="366"/>
      <c r="R36" s="366"/>
      <c r="S36"/>
      <c r="T36"/>
      <c r="U36" s="8"/>
      <c r="V36" s="366"/>
      <c r="W36" s="366"/>
      <c r="Y36" s="251">
        <f>N18</f>
        <v>0</v>
      </c>
      <c r="Z36" s="251">
        <v>4</v>
      </c>
    </row>
    <row r="37" spans="1:26" ht="15.6" customHeight="1" thickBot="1" x14ac:dyDescent="0.4">
      <c r="A37" s="128"/>
      <c r="B37" s="144">
        <f>IF($J$1=TRUE,B31+1,"")</f>
        <v>5</v>
      </c>
      <c r="C37" s="81"/>
      <c r="D37" s="15"/>
      <c r="E37" s="153"/>
      <c r="F37" s="148">
        <f>IF($J$1=TRUE,F20+1,"")</f>
        <v>20</v>
      </c>
      <c r="G37" s="150"/>
      <c r="H37" s="151"/>
      <c r="I37" s="153"/>
      <c r="J37" s="148">
        <f>IF($J$1=TRUE,L63+1,"")</f>
        <v>28</v>
      </c>
      <c r="K37" s="27"/>
      <c r="L37" s="31"/>
      <c r="M37" s="151"/>
      <c r="N37" s="16"/>
      <c r="P37" s="330" t="s">
        <v>97</v>
      </c>
      <c r="Q37" s="330"/>
      <c r="R37" s="330"/>
      <c r="S37"/>
      <c r="T37"/>
      <c r="U37"/>
      <c r="V37" s="331" t="s">
        <v>98</v>
      </c>
      <c r="W37" s="331"/>
      <c r="Y37" s="251">
        <f>N21</f>
        <v>0</v>
      </c>
      <c r="Z37" s="251">
        <v>3</v>
      </c>
    </row>
    <row r="38" spans="1:26" ht="15.6" customHeight="1" thickBot="1" x14ac:dyDescent="0.35">
      <c r="A38" s="127">
        <f>IF($J$2=TRUE,11,"")</f>
        <v>11</v>
      </c>
      <c r="B38" s="146"/>
      <c r="C38" s="153"/>
      <c r="D38" s="147"/>
      <c r="E38" s="147"/>
      <c r="F38" s="148"/>
      <c r="G38" s="150"/>
      <c r="H38" s="139"/>
      <c r="I38" s="29"/>
      <c r="J38" s="148"/>
      <c r="K38" s="27"/>
      <c r="L38" s="18"/>
      <c r="M38" s="35"/>
      <c r="N38" s="16"/>
      <c r="Y38" s="251">
        <f>N25</f>
        <v>0</v>
      </c>
      <c r="Z38" s="251">
        <v>2</v>
      </c>
    </row>
    <row r="39" spans="1:26" ht="15.6" customHeight="1" x14ac:dyDescent="0.3">
      <c r="A39" s="127"/>
      <c r="B39" s="137"/>
      <c r="C39" s="137"/>
      <c r="D39" s="29"/>
      <c r="E39" s="29"/>
      <c r="F39" s="148"/>
      <c r="G39" s="150"/>
      <c r="H39" s="139"/>
      <c r="I39" s="29"/>
      <c r="J39" s="148"/>
      <c r="K39" s="27"/>
      <c r="L39" s="18"/>
      <c r="M39" s="36"/>
      <c r="N39" s="16"/>
      <c r="Y39" s="251">
        <f>N28</f>
        <v>0</v>
      </c>
      <c r="Z39" s="251">
        <v>1</v>
      </c>
    </row>
    <row r="40" spans="1:26" ht="15.6" customHeight="1" x14ac:dyDescent="0.3">
      <c r="A40" s="127"/>
      <c r="B40" s="137"/>
      <c r="C40" s="137"/>
      <c r="D40" s="29"/>
      <c r="E40" s="29"/>
      <c r="F40" s="137"/>
      <c r="G40" s="145"/>
      <c r="H40" s="137"/>
      <c r="I40" s="136"/>
      <c r="J40" s="136"/>
      <c r="K40" s="24"/>
      <c r="L40" s="16"/>
      <c r="M40" s="37"/>
      <c r="N40" s="16"/>
    </row>
    <row r="41" spans="1:26" ht="15.6" customHeight="1" thickBot="1" x14ac:dyDescent="0.35">
      <c r="A41" s="127">
        <f>IF($J$2=TRUE,7,"")</f>
        <v>7</v>
      </c>
      <c r="B41" s="146"/>
      <c r="C41" s="151"/>
      <c r="D41" s="29"/>
      <c r="E41" s="29"/>
      <c r="F41" s="148"/>
      <c r="G41" s="145"/>
      <c r="H41" s="137"/>
      <c r="I41" s="137"/>
      <c r="J41" s="136"/>
      <c r="K41" s="24"/>
      <c r="L41" s="16"/>
      <c r="M41" s="37"/>
      <c r="N41" s="16"/>
    </row>
    <row r="42" spans="1:26" ht="15.6" customHeight="1" thickBot="1" x14ac:dyDescent="0.35">
      <c r="A42" s="128"/>
      <c r="B42" s="144">
        <f>IF($J$1=TRUE,B37+1,"")</f>
        <v>6</v>
      </c>
      <c r="C42" s="81"/>
      <c r="D42" s="15"/>
      <c r="E42" s="151"/>
      <c r="F42" s="137"/>
      <c r="G42" s="145"/>
      <c r="H42" s="137"/>
      <c r="I42" s="137"/>
      <c r="J42" s="136"/>
      <c r="K42" s="27"/>
      <c r="M42" s="37"/>
      <c r="N42" s="16"/>
    </row>
    <row r="43" spans="1:26" ht="15.6" customHeight="1" thickBot="1" x14ac:dyDescent="0.35">
      <c r="A43" s="127">
        <f>IF($J$2=TRUE,10,"")</f>
        <v>10</v>
      </c>
      <c r="B43" s="146"/>
      <c r="C43" s="153"/>
      <c r="D43" s="139"/>
      <c r="E43" s="145"/>
      <c r="F43" s="137"/>
      <c r="G43" s="145"/>
      <c r="H43" s="137"/>
      <c r="I43" s="137"/>
      <c r="J43" s="136"/>
      <c r="K43" s="27"/>
      <c r="L43" s="16"/>
      <c r="M43" s="37"/>
      <c r="N43" s="16"/>
    </row>
    <row r="44" spans="1:26" ht="15.6" customHeight="1" x14ac:dyDescent="0.3">
      <c r="A44" s="127"/>
      <c r="B44" s="137"/>
      <c r="C44" s="137"/>
      <c r="D44" s="139"/>
      <c r="E44" s="145"/>
      <c r="F44" s="137"/>
      <c r="G44" s="145"/>
      <c r="H44" s="137"/>
      <c r="I44" s="137"/>
      <c r="J44" s="136"/>
      <c r="K44" s="27"/>
      <c r="L44" s="16"/>
      <c r="M44" s="37"/>
      <c r="N44" s="16"/>
    </row>
    <row r="45" spans="1:26" ht="15.6" customHeight="1" thickBot="1" x14ac:dyDescent="0.35">
      <c r="A45" s="127"/>
      <c r="B45" s="137"/>
      <c r="C45" s="137"/>
      <c r="D45" s="148">
        <f>IF($J$1=TRUE,D34+1,"")</f>
        <v>11</v>
      </c>
      <c r="E45" s="136"/>
      <c r="F45" s="142"/>
      <c r="G45" s="153"/>
      <c r="H45" s="137"/>
      <c r="I45" s="152" t="s">
        <v>104</v>
      </c>
      <c r="J45" s="15"/>
      <c r="K45" s="153"/>
      <c r="L45" s="30">
        <f>IF($J$1=TRUE,J37+1,"")</f>
        <v>29</v>
      </c>
      <c r="M45" s="37"/>
      <c r="N45" s="84"/>
    </row>
    <row r="46" spans="1:26" ht="15.6" customHeight="1" x14ac:dyDescent="0.3">
      <c r="B46" s="185"/>
      <c r="C46" s="139"/>
      <c r="D46" s="139"/>
      <c r="E46" s="145"/>
      <c r="F46" s="137"/>
      <c r="G46" s="138"/>
      <c r="H46" s="137"/>
      <c r="I46" s="136"/>
      <c r="J46" s="136"/>
      <c r="M46" s="37"/>
      <c r="N46" s="85"/>
    </row>
    <row r="47" spans="1:26" ht="15.6" customHeight="1" thickBot="1" x14ac:dyDescent="0.35">
      <c r="A47" s="127">
        <v>2</v>
      </c>
      <c r="B47" s="146"/>
      <c r="C47" s="151"/>
      <c r="D47" s="139"/>
      <c r="E47" s="145"/>
      <c r="F47" s="137"/>
      <c r="G47" s="138"/>
      <c r="H47" s="136"/>
      <c r="I47" s="136"/>
      <c r="J47" s="136"/>
      <c r="M47" s="155"/>
      <c r="N47" s="18"/>
    </row>
    <row r="48" spans="1:26" ht="15.6" customHeight="1" thickBot="1" x14ac:dyDescent="0.35">
      <c r="A48" s="128"/>
      <c r="B48" s="210">
        <f>IF($J$1=TRUE,B42+1,"")</f>
        <v>7</v>
      </c>
      <c r="C48" s="207"/>
      <c r="D48" s="15"/>
      <c r="E48" s="153"/>
      <c r="F48" s="137"/>
      <c r="G48" s="138"/>
      <c r="H48" s="136"/>
      <c r="I48" s="136"/>
      <c r="J48" s="136"/>
      <c r="M48" s="156"/>
      <c r="N48" s="16"/>
    </row>
    <row r="49" spans="1:14" ht="15.6" customHeight="1" thickBot="1" x14ac:dyDescent="0.35">
      <c r="A49" s="178">
        <v>15</v>
      </c>
      <c r="B49" s="146"/>
      <c r="C49" s="153"/>
      <c r="D49" s="139"/>
      <c r="E49" s="138"/>
      <c r="F49" s="137"/>
      <c r="G49" s="138"/>
      <c r="H49" s="136"/>
      <c r="I49" s="136"/>
      <c r="J49" s="137"/>
      <c r="K49" s="39" t="s">
        <v>105</v>
      </c>
      <c r="L49" s="84"/>
      <c r="M49" s="154"/>
    </row>
    <row r="50" spans="1:14" ht="15.6" customHeight="1" x14ac:dyDescent="0.3">
      <c r="A50" s="18"/>
      <c r="B50" s="18"/>
      <c r="C50" s="18"/>
      <c r="D50" s="18"/>
      <c r="E50" s="17"/>
      <c r="F50" s="16"/>
      <c r="G50" s="17"/>
      <c r="H50" s="16"/>
      <c r="L50" s="18"/>
    </row>
    <row r="51" spans="1:14" ht="15.6" customHeight="1" x14ac:dyDescent="0.3">
      <c r="A51" s="16"/>
      <c r="B51" s="16"/>
      <c r="C51" s="16"/>
      <c r="D51" s="18"/>
      <c r="E51" s="17"/>
      <c r="F51" s="16"/>
      <c r="G51" s="17"/>
      <c r="H51" s="16"/>
      <c r="L51" s="18"/>
    </row>
    <row r="52" spans="1:14" ht="26.1" customHeight="1" x14ac:dyDescent="0.5">
      <c r="A52" s="11" t="s">
        <v>56</v>
      </c>
      <c r="B52" s="11"/>
      <c r="C52" s="11"/>
      <c r="D52" s="16"/>
      <c r="G52" s="28" t="s">
        <v>54</v>
      </c>
      <c r="M52" s="16"/>
      <c r="N52" s="16"/>
    </row>
    <row r="53" spans="1:14" ht="15.6" customHeight="1" x14ac:dyDescent="0.3">
      <c r="M53" s="16"/>
      <c r="N53" s="16"/>
    </row>
    <row r="54" spans="1:14" ht="15.6" customHeight="1" thickBot="1" x14ac:dyDescent="0.35">
      <c r="C54" s="79" t="s">
        <v>62</v>
      </c>
      <c r="D54" s="26"/>
      <c r="E54" s="151"/>
      <c r="M54" s="16"/>
      <c r="N54" s="16"/>
    </row>
    <row r="55" spans="1:14" ht="15.6" customHeight="1" x14ac:dyDescent="0.3">
      <c r="A55" s="16"/>
      <c r="C55" s="45"/>
      <c r="D55" s="86"/>
      <c r="E55" s="47"/>
      <c r="L55" s="18"/>
      <c r="M55" s="16"/>
      <c r="N55" s="16"/>
    </row>
    <row r="56" spans="1:14" ht="15.6" customHeight="1" thickBot="1" x14ac:dyDescent="0.35">
      <c r="D56" s="49">
        <f>IF($J$1=TRUE,D71+1,"")</f>
        <v>16</v>
      </c>
      <c r="E56" s="87"/>
      <c r="F56" s="26"/>
      <c r="G56" s="151"/>
      <c r="H56" s="16"/>
      <c r="I56" s="16"/>
      <c r="J56" s="16"/>
      <c r="K56" s="67" t="s">
        <v>79</v>
      </c>
      <c r="L56" s="53"/>
      <c r="M56" s="151"/>
      <c r="N56" s="18"/>
    </row>
    <row r="57" spans="1:14" ht="15.6" customHeight="1" thickBot="1" x14ac:dyDescent="0.35">
      <c r="A57" s="83" t="s">
        <v>65</v>
      </c>
      <c r="B57" s="26"/>
      <c r="C57" s="151"/>
      <c r="E57" s="82"/>
      <c r="F57" s="18"/>
      <c r="G57" s="19"/>
      <c r="H57" s="16"/>
      <c r="I57" s="16"/>
      <c r="J57" s="16"/>
      <c r="K57" s="17"/>
      <c r="L57" s="16"/>
      <c r="M57" s="57"/>
    </row>
    <row r="58" spans="1:14" ht="15.6" customHeight="1" thickBot="1" x14ac:dyDescent="0.35">
      <c r="A58" s="17"/>
      <c r="B58" s="49">
        <f>IF($J$1=TRUE,D45+1,"")</f>
        <v>12</v>
      </c>
      <c r="C58" s="81"/>
      <c r="D58" s="26"/>
      <c r="E58" s="153"/>
      <c r="F58" s="18"/>
      <c r="G58" s="27"/>
      <c r="H58" s="18"/>
      <c r="I58" s="16"/>
      <c r="J58" s="16"/>
      <c r="K58" s="17"/>
      <c r="L58" s="16"/>
      <c r="M58" s="57"/>
    </row>
    <row r="59" spans="1:14" ht="15.6" customHeight="1" thickBot="1" x14ac:dyDescent="0.35">
      <c r="A59" s="83" t="s">
        <v>63</v>
      </c>
      <c r="B59" s="26"/>
      <c r="C59" s="153"/>
      <c r="F59" s="30">
        <f>IF($J$1=TRUE,F37+1,"")</f>
        <v>21</v>
      </c>
      <c r="G59" s="82"/>
      <c r="H59" s="53"/>
      <c r="I59" s="151"/>
      <c r="J59" s="16"/>
      <c r="K59" s="17"/>
      <c r="L59" s="16"/>
      <c r="M59" s="57"/>
      <c r="N59" s="16"/>
    </row>
    <row r="60" spans="1:14" ht="15.6" customHeight="1" x14ac:dyDescent="0.3">
      <c r="A60" s="17"/>
      <c r="B60" s="79"/>
      <c r="F60" s="30"/>
      <c r="G60" s="158" t="s">
        <v>111</v>
      </c>
      <c r="H60" s="18"/>
      <c r="I60" s="40"/>
      <c r="J60" s="16"/>
      <c r="K60" s="17"/>
      <c r="L60" s="16"/>
      <c r="M60" s="57"/>
      <c r="N60" s="16"/>
    </row>
    <row r="61" spans="1:14" ht="15.6" customHeight="1" thickBot="1" x14ac:dyDescent="0.35">
      <c r="A61" s="17"/>
      <c r="B61" s="17"/>
      <c r="C61" s="17" t="s">
        <v>57</v>
      </c>
      <c r="D61" s="26"/>
      <c r="E61" s="151"/>
      <c r="F61" s="18"/>
      <c r="G61" s="27"/>
      <c r="H61" s="18"/>
      <c r="I61" s="24"/>
      <c r="J61" s="16"/>
      <c r="K61" s="17"/>
      <c r="M61" s="57"/>
      <c r="N61" s="16"/>
    </row>
    <row r="62" spans="1:14" ht="15.6" customHeight="1" x14ac:dyDescent="0.3">
      <c r="A62" s="17"/>
      <c r="B62" s="208"/>
      <c r="C62" s="17"/>
      <c r="D62" s="86"/>
      <c r="E62" s="47"/>
      <c r="F62" s="18"/>
      <c r="G62" s="27"/>
      <c r="H62" s="18"/>
      <c r="I62" s="24"/>
      <c r="J62" s="16"/>
      <c r="K62" s="17"/>
      <c r="L62" s="30"/>
      <c r="M62" s="57"/>
      <c r="N62" s="16"/>
    </row>
    <row r="63" spans="1:14" ht="15.6" customHeight="1" thickBot="1" x14ac:dyDescent="0.35">
      <c r="A63" s="83"/>
      <c r="B63" s="67"/>
      <c r="C63" s="83"/>
      <c r="D63" s="49">
        <f>IF($J$1=TRUE,D56+1,"")</f>
        <v>17</v>
      </c>
      <c r="E63" s="87"/>
      <c r="F63" s="41"/>
      <c r="G63" s="153"/>
      <c r="H63" s="30">
        <f>IF($J$1=TRUE,F74+1,"")</f>
        <v>23</v>
      </c>
      <c r="I63" s="27"/>
      <c r="J63" s="53"/>
      <c r="K63" s="151"/>
      <c r="L63" s="30">
        <f>IF($J$1=TRUE,J71+1,"")</f>
        <v>27</v>
      </c>
      <c r="M63" s="57"/>
      <c r="N63" s="88" t="s">
        <v>106</v>
      </c>
    </row>
    <row r="64" spans="1:14" ht="15.6" customHeight="1" thickBot="1" x14ac:dyDescent="0.35">
      <c r="A64" s="39" t="s">
        <v>64</v>
      </c>
      <c r="B64" s="212"/>
      <c r="C64" s="151"/>
      <c r="E64" s="82"/>
      <c r="F64" s="42"/>
      <c r="G64" s="23"/>
      <c r="H64" s="30"/>
      <c r="I64" s="158" t="s">
        <v>112</v>
      </c>
      <c r="J64" s="18"/>
      <c r="K64" s="40"/>
      <c r="L64" s="30"/>
      <c r="M64" s="158" t="s">
        <v>114</v>
      </c>
      <c r="N64" s="44"/>
    </row>
    <row r="65" spans="1:14" ht="15.6" customHeight="1" thickBot="1" x14ac:dyDescent="0.35">
      <c r="A65" s="44"/>
      <c r="B65" s="209">
        <f>IF($J$1=TRUE,B58+1,"")</f>
        <v>13</v>
      </c>
      <c r="C65" s="211"/>
      <c r="D65" s="26"/>
      <c r="E65" s="153"/>
      <c r="F65" s="16"/>
      <c r="G65" s="17"/>
      <c r="H65" s="18"/>
      <c r="I65" s="27"/>
      <c r="J65" s="16"/>
      <c r="K65" s="27"/>
      <c r="L65" s="16"/>
      <c r="M65" s="57"/>
      <c r="N65" s="16"/>
    </row>
    <row r="66" spans="1:14" ht="15.6" customHeight="1" thickBot="1" x14ac:dyDescent="0.35">
      <c r="A66" s="39" t="s">
        <v>145</v>
      </c>
      <c r="B66" s="212"/>
      <c r="C66" s="153"/>
      <c r="F66" s="16"/>
      <c r="G66" s="17"/>
      <c r="H66" s="18"/>
      <c r="I66" s="27"/>
      <c r="J66" s="16"/>
      <c r="K66" s="27"/>
      <c r="L66" s="16"/>
      <c r="M66" s="57"/>
      <c r="N66" s="16"/>
    </row>
    <row r="67" spans="1:14" ht="15.6" customHeight="1" thickBot="1" x14ac:dyDescent="0.35">
      <c r="A67" s="83"/>
      <c r="B67" s="208"/>
      <c r="C67" s="17"/>
      <c r="F67" s="16"/>
      <c r="G67" s="83" t="s">
        <v>70</v>
      </c>
      <c r="H67" s="41"/>
      <c r="I67" s="153"/>
      <c r="J67" s="16"/>
      <c r="K67" s="27"/>
      <c r="L67" s="16"/>
      <c r="M67" s="57"/>
      <c r="N67" s="16"/>
    </row>
    <row r="68" spans="1:14" ht="15.6" customHeight="1" x14ac:dyDescent="0.3">
      <c r="A68" s="83"/>
      <c r="B68" s="208"/>
      <c r="C68" s="17"/>
      <c r="F68" s="16"/>
      <c r="G68" s="17"/>
      <c r="H68" s="16"/>
      <c r="I68" s="16"/>
      <c r="J68" s="16"/>
      <c r="K68" s="27"/>
      <c r="L68" s="16"/>
      <c r="M68" s="57"/>
      <c r="N68" s="16"/>
    </row>
    <row r="69" spans="1:14" ht="15.6" customHeight="1" thickBot="1" x14ac:dyDescent="0.35">
      <c r="A69" s="83"/>
      <c r="B69" s="79"/>
      <c r="C69" s="67" t="s">
        <v>61</v>
      </c>
      <c r="D69" s="26"/>
      <c r="E69" s="151"/>
      <c r="F69" s="16"/>
      <c r="G69" s="17"/>
      <c r="H69" s="16"/>
      <c r="I69" s="16"/>
      <c r="J69" s="16"/>
      <c r="K69" s="27"/>
      <c r="L69" s="16"/>
      <c r="M69" s="57"/>
      <c r="N69" s="16"/>
    </row>
    <row r="70" spans="1:14" ht="15.6" customHeight="1" x14ac:dyDescent="0.3">
      <c r="A70" s="83"/>
      <c r="B70" s="79"/>
      <c r="C70" s="45"/>
      <c r="D70" s="86"/>
      <c r="E70" s="47"/>
      <c r="F70" s="16"/>
      <c r="G70" s="17"/>
      <c r="H70" s="16"/>
      <c r="I70" s="16"/>
      <c r="J70" s="16"/>
      <c r="K70" s="27"/>
      <c r="L70" s="16"/>
      <c r="M70" s="57"/>
      <c r="N70" s="16"/>
    </row>
    <row r="71" spans="1:14" ht="15.6" customHeight="1" thickBot="1" x14ac:dyDescent="0.35">
      <c r="A71" s="83"/>
      <c r="B71" s="79"/>
      <c r="D71" s="49">
        <f>IF($J$1=TRUE,B80+1,"")</f>
        <v>15</v>
      </c>
      <c r="E71" s="87"/>
      <c r="F71" s="26"/>
      <c r="G71" s="151"/>
      <c r="H71" s="16"/>
      <c r="I71" s="16"/>
      <c r="J71" s="30">
        <f>IF($J$1=TRUE,H31+1,"")</f>
        <v>26</v>
      </c>
      <c r="K71" s="27"/>
      <c r="L71" s="53"/>
      <c r="M71" s="153"/>
      <c r="N71" s="16"/>
    </row>
    <row r="72" spans="1:14" ht="15.6" customHeight="1" x14ac:dyDescent="0.3">
      <c r="A72" s="83"/>
      <c r="B72" s="79"/>
      <c r="E72" s="82"/>
      <c r="F72" s="18"/>
      <c r="G72" s="19"/>
      <c r="H72" s="16"/>
      <c r="I72" s="16"/>
      <c r="J72" s="16"/>
      <c r="K72" s="158" t="s">
        <v>113</v>
      </c>
      <c r="N72" s="16"/>
    </row>
    <row r="73" spans="1:14" ht="15.6" customHeight="1" thickBot="1" x14ac:dyDescent="0.35">
      <c r="A73" s="83"/>
      <c r="B73" s="79"/>
      <c r="C73" s="67" t="s">
        <v>107</v>
      </c>
      <c r="D73" s="26"/>
      <c r="E73" s="153"/>
      <c r="F73" s="18"/>
      <c r="G73" s="24"/>
      <c r="H73" s="16"/>
      <c r="I73" s="16"/>
      <c r="J73" s="16"/>
      <c r="K73" s="27"/>
      <c r="N73" s="16"/>
    </row>
    <row r="74" spans="1:14" ht="15.6" customHeight="1" thickBot="1" x14ac:dyDescent="0.35">
      <c r="A74" s="83"/>
      <c r="B74" s="79"/>
      <c r="F74" s="30">
        <f>IF($J$1=TRUE,F59+1,"")</f>
        <v>22</v>
      </c>
      <c r="G74" s="27"/>
      <c r="H74" s="26"/>
      <c r="I74" s="151"/>
      <c r="J74" s="16"/>
      <c r="K74" s="27"/>
      <c r="N74" s="16"/>
    </row>
    <row r="75" spans="1:14" ht="15.6" customHeight="1" x14ac:dyDescent="0.3">
      <c r="A75" s="83"/>
      <c r="B75" s="79"/>
      <c r="F75" s="18"/>
      <c r="G75" s="158" t="s">
        <v>111</v>
      </c>
      <c r="H75" s="18"/>
      <c r="I75" s="19"/>
      <c r="J75" s="16"/>
      <c r="K75" s="27"/>
      <c r="N75" s="16"/>
    </row>
    <row r="76" spans="1:14" ht="15.6" customHeight="1" thickBot="1" x14ac:dyDescent="0.35">
      <c r="A76" s="83"/>
      <c r="B76" s="208"/>
      <c r="C76" s="17" t="s">
        <v>78</v>
      </c>
      <c r="D76" s="26"/>
      <c r="E76" s="151"/>
      <c r="F76" s="18"/>
      <c r="G76" s="27"/>
      <c r="H76" s="18"/>
      <c r="I76" s="24"/>
      <c r="J76" s="16"/>
      <c r="K76" s="27"/>
      <c r="N76" s="16"/>
    </row>
    <row r="77" spans="1:14" ht="15.6" customHeight="1" x14ac:dyDescent="0.3">
      <c r="A77" s="83"/>
      <c r="B77" s="17"/>
      <c r="C77" s="17"/>
      <c r="D77" s="86"/>
      <c r="E77" s="47"/>
      <c r="F77" s="18"/>
      <c r="G77" s="27"/>
      <c r="H77" s="18"/>
      <c r="I77" s="24"/>
      <c r="J77" s="16"/>
      <c r="K77" s="27"/>
      <c r="N77" s="16"/>
    </row>
    <row r="78" spans="1:14" ht="15.6" customHeight="1" thickBot="1" x14ac:dyDescent="0.35">
      <c r="A78" s="83"/>
      <c r="B78" s="83"/>
      <c r="C78" s="83"/>
      <c r="D78" s="49">
        <f>IF($J$1=TRUE,D63+1,"")</f>
        <v>18</v>
      </c>
      <c r="E78" s="87"/>
      <c r="F78" s="41"/>
      <c r="G78" s="153"/>
      <c r="H78" s="30">
        <f>IF($J$1=TRUE,H63+1,"")</f>
        <v>24</v>
      </c>
      <c r="I78" s="27"/>
      <c r="J78" s="53"/>
      <c r="K78" s="153"/>
      <c r="N78" s="16"/>
    </row>
    <row r="79" spans="1:14" ht="15.6" customHeight="1" thickBot="1" x14ac:dyDescent="0.35">
      <c r="A79" s="83" t="s">
        <v>60</v>
      </c>
      <c r="B79" s="26"/>
      <c r="C79" s="151"/>
      <c r="D79" s="89" t="s">
        <v>6</v>
      </c>
      <c r="E79" s="82"/>
      <c r="F79" s="16"/>
      <c r="G79" s="17"/>
      <c r="H79" s="18"/>
      <c r="I79" s="158" t="s">
        <v>112</v>
      </c>
      <c r="N79" s="16"/>
    </row>
    <row r="80" spans="1:14" ht="15.6" customHeight="1" thickBot="1" x14ac:dyDescent="0.35">
      <c r="A80" s="83"/>
      <c r="B80" s="49">
        <f>IF($J$1=TRUE,B65+1,"")</f>
        <v>14</v>
      </c>
      <c r="C80" s="81"/>
      <c r="D80" s="26"/>
      <c r="E80" s="153"/>
      <c r="F80" s="16"/>
      <c r="G80" s="17"/>
      <c r="H80" s="18"/>
      <c r="I80" s="27"/>
      <c r="N80" s="16"/>
    </row>
    <row r="81" spans="1:14" ht="15.6" customHeight="1" thickBot="1" x14ac:dyDescent="0.35">
      <c r="A81" s="83" t="s">
        <v>59</v>
      </c>
      <c r="B81" s="26"/>
      <c r="C81" s="153"/>
      <c r="F81" s="16"/>
      <c r="I81" s="24"/>
      <c r="J81" s="16"/>
      <c r="K81" s="17"/>
      <c r="N81" s="16"/>
    </row>
    <row r="82" spans="1:14" ht="15.6" customHeight="1" thickBot="1" x14ac:dyDescent="0.35">
      <c r="A82" s="17"/>
      <c r="B82" s="17"/>
      <c r="C82" s="17"/>
      <c r="F82" s="16"/>
      <c r="G82" s="83" t="s">
        <v>69</v>
      </c>
      <c r="H82" s="41"/>
      <c r="I82" s="153"/>
      <c r="J82" s="16"/>
      <c r="K82" s="17"/>
      <c r="N82" s="16"/>
    </row>
    <row r="83" spans="1:14" ht="15.6" customHeight="1" x14ac:dyDescent="0.3">
      <c r="A83" s="17"/>
      <c r="B83" s="17"/>
      <c r="C83" s="17"/>
      <c r="D83" s="16"/>
      <c r="E83" s="17"/>
      <c r="F83" s="16"/>
      <c r="G83" s="16"/>
      <c r="H83" s="16"/>
      <c r="I83" s="17"/>
      <c r="L83" s="16"/>
      <c r="M83" s="16"/>
      <c r="N83" s="16"/>
    </row>
    <row r="84" spans="1:14" ht="15.6" customHeight="1" x14ac:dyDescent="0.3">
      <c r="A84" s="17"/>
      <c r="B84" s="17"/>
      <c r="C84" s="17"/>
      <c r="D84" s="16"/>
      <c r="E84" s="17"/>
      <c r="F84" s="16"/>
      <c r="G84" s="16"/>
      <c r="H84" s="16"/>
      <c r="I84" s="17"/>
      <c r="J84" s="16"/>
      <c r="K84" s="17"/>
      <c r="L84" s="16"/>
      <c r="M84" s="16"/>
      <c r="N84" s="16"/>
    </row>
    <row r="85" spans="1:14" ht="15.6" customHeight="1" x14ac:dyDescent="0.3">
      <c r="H85" s="16"/>
      <c r="I85" s="17"/>
      <c r="J85" s="16"/>
      <c r="K85" s="17"/>
      <c r="L85" s="16"/>
      <c r="M85" s="16"/>
      <c r="N85" s="16"/>
    </row>
    <row r="86" spans="1:14" ht="15.6" customHeight="1" x14ac:dyDescent="0.3">
      <c r="A86" s="16"/>
      <c r="B86" s="16"/>
      <c r="C86" s="16"/>
      <c r="D86" s="16"/>
      <c r="E86" s="17"/>
      <c r="F86" s="16"/>
      <c r="G86" s="17"/>
      <c r="H86" s="16"/>
      <c r="I86" s="16"/>
      <c r="J86" s="16"/>
      <c r="K86" s="17"/>
      <c r="L86" s="16"/>
      <c r="M86" s="16"/>
      <c r="N86" s="16"/>
    </row>
    <row r="87" spans="1:14" ht="15.6" customHeight="1" x14ac:dyDescent="0.3">
      <c r="A87" s="16"/>
      <c r="B87" s="16"/>
      <c r="C87" s="16"/>
      <c r="D87" s="16"/>
      <c r="E87" s="17"/>
      <c r="F87" s="16"/>
      <c r="G87" s="17"/>
      <c r="H87" s="16"/>
      <c r="I87" s="16"/>
      <c r="J87" s="16"/>
      <c r="K87" s="17"/>
      <c r="L87" s="16"/>
      <c r="M87" s="16"/>
      <c r="N87" s="16"/>
    </row>
    <row r="88" spans="1:14" ht="15.6" customHeight="1" x14ac:dyDescent="0.3">
      <c r="A88" s="16"/>
      <c r="B88" s="16"/>
      <c r="C88" s="16"/>
      <c r="D88" s="16"/>
      <c r="E88" s="17"/>
      <c r="F88" s="16"/>
      <c r="G88" s="17"/>
      <c r="H88" s="16"/>
      <c r="I88" s="16"/>
      <c r="J88" s="16"/>
      <c r="K88" s="17"/>
      <c r="L88" s="16"/>
      <c r="M88" s="16"/>
      <c r="N88" s="16"/>
    </row>
    <row r="89" spans="1:14" ht="15.6" customHeight="1" x14ac:dyDescent="0.3">
      <c r="A89" s="16"/>
      <c r="B89" s="16"/>
      <c r="C89" s="16"/>
      <c r="D89" s="16"/>
      <c r="E89" s="17"/>
      <c r="F89" s="16"/>
      <c r="G89" s="17"/>
      <c r="H89" s="16"/>
      <c r="I89" s="16"/>
      <c r="J89" s="16"/>
      <c r="K89" s="17"/>
      <c r="L89" s="16"/>
      <c r="M89" s="16"/>
      <c r="N89" s="16"/>
    </row>
    <row r="90" spans="1:14" ht="15.6" customHeight="1" x14ac:dyDescent="0.3">
      <c r="A90" s="16"/>
      <c r="B90" s="16"/>
      <c r="C90" s="16"/>
      <c r="D90" s="16"/>
      <c r="E90" s="17"/>
      <c r="F90" s="16"/>
      <c r="G90" s="17"/>
      <c r="H90" s="16"/>
      <c r="I90" s="16"/>
      <c r="J90" s="16"/>
      <c r="K90" s="17"/>
      <c r="L90" s="16"/>
      <c r="M90" s="16"/>
      <c r="N90" s="16"/>
    </row>
  </sheetData>
  <mergeCells count="6">
    <mergeCell ref="A2:D2"/>
    <mergeCell ref="P36:R36"/>
    <mergeCell ref="P37:R37"/>
    <mergeCell ref="V36:W36"/>
    <mergeCell ref="V37:W37"/>
    <mergeCell ref="Q10:V12"/>
  </mergeCells>
  <dataValidations count="3">
    <dataValidation type="list" allowBlank="1" showInputMessage="1" showErrorMessage="1" sqref="N18" xr:uid="{A46589D2-BB30-452C-AF73-AF7860B17B7B}">
      <formula1>L15:L20</formula1>
    </dataValidation>
    <dataValidation type="list" allowBlank="1" showInputMessage="1" showErrorMessage="1" sqref="N25" xr:uid="{EC199701-C2A3-4C56-B92B-5F9CDF12B6E0}">
      <formula1>$L$23:$L$27</formula1>
    </dataValidation>
    <dataValidation type="list" allowBlank="1" showInputMessage="1" showErrorMessage="1" sqref="D9 N13 N10 L15 L20 L27 L23 V36:W36 P36:R36 B49 B47 B43 B41 B38 B36 B32 B30 B27 B25 B21 B19 B16" xr:uid="{0FA8080C-F098-4E8E-9BD8-2C0AE2B1A26F}">
      <formula1>$C$4:$C$19</formula1>
    </dataValidation>
  </dataValidations>
  <hyperlinks>
    <hyperlink ref="H2" location="Instructions!A1" display="Instructions" xr:uid="{00000000-0004-0000-0600-000000000000}"/>
    <hyperlink ref="A2" r:id="rId1" display="Tournament Bracket Template by Vertex42.com" xr:uid="{00000000-0004-0000-0600-000001000000}"/>
    <hyperlink ref="Q10" location="Scoreboard!A1" display="Return to Scoreboard" xr:uid="{00000000-0004-0000-0600-000002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D27045D6-06AB-4506-A298-806C2BE2BA38}">
          <x14:formula1>
            <xm:f>Scoreboard!$C$4:$C$19</xm:f>
          </x14:formula1>
          <xm:sqref>B14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B1:T41"/>
  <sheetViews>
    <sheetView showGridLines="0" showRowColHeaders="0" showZeros="0" zoomScale="96" zoomScaleNormal="96" workbookViewId="0">
      <selection activeCell="P9" sqref="P9:R9"/>
    </sheetView>
  </sheetViews>
  <sheetFormatPr defaultRowHeight="14.4" x14ac:dyDescent="0.3"/>
  <cols>
    <col min="1" max="1" width="4.44140625" customWidth="1"/>
    <col min="2" max="2" width="20.44140625" customWidth="1"/>
    <col min="3" max="3" width="0.44140625" customWidth="1"/>
    <col min="4" max="4" width="16.44140625" bestFit="1" customWidth="1"/>
    <col min="5" max="5" width="0.44140625" customWidth="1"/>
    <col min="6" max="6" width="16.44140625" bestFit="1" customWidth="1"/>
    <col min="7" max="7" width="0.44140625" customWidth="1"/>
    <col min="8" max="8" width="16.44140625" customWidth="1"/>
    <col min="12" max="12" width="2.44140625" customWidth="1"/>
    <col min="13" max="13" width="18.77734375" bestFit="1" customWidth="1"/>
    <col min="15" max="18" width="22.109375" bestFit="1" customWidth="1"/>
    <col min="19" max="20" width="8.88671875" hidden="1" customWidth="1"/>
  </cols>
  <sheetData>
    <row r="1" spans="2:20" ht="15.6" thickBot="1" x14ac:dyDescent="0.35">
      <c r="F1" s="204"/>
      <c r="G1" s="204"/>
      <c r="H1" s="204"/>
      <c r="I1" s="204"/>
      <c r="J1" s="204"/>
      <c r="K1" s="204"/>
    </row>
    <row r="2" spans="2:20" ht="18.75" thickBot="1" x14ac:dyDescent="0.4">
      <c r="B2" s="15" t="s">
        <v>163</v>
      </c>
      <c r="C2" s="227"/>
      <c r="D2" s="16"/>
      <c r="E2" s="17"/>
      <c r="F2" s="79"/>
      <c r="G2" s="79"/>
      <c r="H2" s="236" t="str">
        <f>B2</f>
        <v>Mitch &amp; Katelyn</v>
      </c>
      <c r="I2" s="235" t="str">
        <f>D5</f>
        <v>Mitch &amp; Katelyn</v>
      </c>
      <c r="J2" s="235"/>
      <c r="K2" s="204"/>
      <c r="O2" s="163" t="s">
        <v>147</v>
      </c>
      <c r="P2" s="163" t="s">
        <v>148</v>
      </c>
      <c r="Q2" s="163" t="s">
        <v>149</v>
      </c>
      <c r="R2" s="222" t="s">
        <v>150</v>
      </c>
    </row>
    <row r="3" spans="2:20" ht="18.149999999999999" x14ac:dyDescent="0.35">
      <c r="B3" s="18"/>
      <c r="C3" s="24"/>
      <c r="D3" s="16"/>
      <c r="E3" s="17"/>
      <c r="F3" s="79"/>
      <c r="G3" s="79"/>
      <c r="H3" s="236" t="str">
        <f>B8</f>
        <v>Derek &amp; Whitney</v>
      </c>
      <c r="I3" s="235" t="str">
        <f>D14</f>
        <v>Brady &amp; Paige</v>
      </c>
      <c r="J3" s="235"/>
      <c r="K3" s="204"/>
      <c r="O3" s="240" t="s">
        <v>182</v>
      </c>
      <c r="P3" s="240" t="s">
        <v>215</v>
      </c>
      <c r="Q3" s="240" t="s">
        <v>197</v>
      </c>
      <c r="R3" s="241" t="s">
        <v>181</v>
      </c>
    </row>
    <row r="4" spans="2:20" ht="18.149999999999999" x14ac:dyDescent="0.35">
      <c r="B4" s="18"/>
      <c r="C4" s="20"/>
      <c r="D4" s="16"/>
      <c r="E4" s="17"/>
      <c r="F4" s="239"/>
      <c r="G4" s="79"/>
      <c r="H4" s="236" t="str">
        <f>B11</f>
        <v>Brady &amp; Paige</v>
      </c>
      <c r="I4" s="235" t="str">
        <f>D23</f>
        <v>Avery &amp; Kayla</v>
      </c>
      <c r="J4" s="235"/>
      <c r="K4" s="204"/>
      <c r="O4" s="242" t="s">
        <v>163</v>
      </c>
      <c r="P4" s="242" t="s">
        <v>242</v>
      </c>
      <c r="Q4" s="242" t="s">
        <v>220</v>
      </c>
      <c r="R4" s="243" t="s">
        <v>217</v>
      </c>
    </row>
    <row r="5" spans="2:20" ht="18.75" thickBot="1" x14ac:dyDescent="0.4">
      <c r="B5" s="22">
        <v>1</v>
      </c>
      <c r="C5" s="66"/>
      <c r="D5" s="224" t="s">
        <v>163</v>
      </c>
      <c r="E5" s="227"/>
      <c r="F5" s="79"/>
      <c r="G5" s="79"/>
      <c r="H5" s="236" t="str">
        <f>B17</f>
        <v>Austin &amp; Shannon</v>
      </c>
      <c r="I5" s="235" t="str">
        <f>D32</f>
        <v>Dean &amp; Misty</v>
      </c>
      <c r="J5" s="235"/>
      <c r="K5" s="204"/>
      <c r="O5" s="242" t="s">
        <v>221</v>
      </c>
      <c r="P5" s="242" t="s">
        <v>198</v>
      </c>
      <c r="Q5" s="242" t="s">
        <v>35</v>
      </c>
      <c r="R5" s="243" t="s">
        <v>132</v>
      </c>
    </row>
    <row r="6" spans="2:20" ht="18.75" thickBot="1" x14ac:dyDescent="0.4">
      <c r="B6" s="23"/>
      <c r="C6" s="20"/>
      <c r="D6" s="16"/>
      <c r="E6" s="24"/>
      <c r="F6" s="79"/>
      <c r="G6" s="79"/>
      <c r="H6" s="236" t="str">
        <f>B20</f>
        <v>B-Dave &amp; Halley</v>
      </c>
      <c r="I6" s="235" t="str">
        <f>F11</f>
        <v>Brady &amp; Paige</v>
      </c>
      <c r="J6" s="235"/>
      <c r="K6" s="204"/>
      <c r="O6" s="232" t="s">
        <v>25</v>
      </c>
      <c r="P6" s="232" t="s">
        <v>222</v>
      </c>
      <c r="Q6" s="232" t="s">
        <v>219</v>
      </c>
      <c r="R6" s="229" t="s">
        <v>180</v>
      </c>
    </row>
    <row r="7" spans="2:20" ht="15" x14ac:dyDescent="0.3">
      <c r="B7" s="23"/>
      <c r="C7" s="20"/>
      <c r="D7" s="16"/>
      <c r="E7" s="24"/>
      <c r="F7" s="79"/>
      <c r="G7" s="79"/>
      <c r="H7" s="237" t="str">
        <f>B26</f>
        <v>Avery &amp; Kayla</v>
      </c>
      <c r="I7" s="235" t="str">
        <f>F26</f>
        <v>Avery &amp; Kayla</v>
      </c>
      <c r="J7" s="235"/>
      <c r="K7" s="204"/>
    </row>
    <row r="8" spans="2:20" ht="16.350000000000001" thickBot="1" x14ac:dyDescent="0.35">
      <c r="B8" s="15" t="s">
        <v>242</v>
      </c>
      <c r="C8" s="64"/>
      <c r="D8" s="16"/>
      <c r="E8" s="27"/>
      <c r="F8" s="79"/>
      <c r="G8" s="79"/>
      <c r="H8" s="238" t="str">
        <f>B29</f>
        <v>Dean &amp; Misty</v>
      </c>
      <c r="I8" s="235"/>
      <c r="J8" s="235"/>
      <c r="K8" s="204"/>
    </row>
    <row r="9" spans="2:20" ht="28.2" x14ac:dyDescent="0.5">
      <c r="B9" s="23"/>
      <c r="C9" s="23"/>
      <c r="D9" s="66"/>
      <c r="E9" s="27"/>
      <c r="F9" s="79"/>
      <c r="G9" s="101"/>
      <c r="H9" s="238" t="str">
        <f>B35</f>
        <v>Chris &amp; Shelby</v>
      </c>
      <c r="I9" s="235"/>
      <c r="J9" s="235"/>
      <c r="K9" s="204"/>
      <c r="P9" s="337" t="s">
        <v>68</v>
      </c>
      <c r="Q9" s="337"/>
      <c r="R9" s="337"/>
    </row>
    <row r="10" spans="2:20" ht="15" x14ac:dyDescent="0.3">
      <c r="B10" s="23"/>
      <c r="C10" s="23"/>
      <c r="D10" s="66"/>
      <c r="E10" s="27"/>
      <c r="F10" s="16"/>
      <c r="G10" s="66"/>
      <c r="H10" s="66"/>
    </row>
    <row r="11" spans="2:20" ht="16.350000000000001" thickBot="1" x14ac:dyDescent="0.35">
      <c r="B11" s="15" t="s">
        <v>219</v>
      </c>
      <c r="C11" s="26"/>
      <c r="D11" s="30">
        <v>6</v>
      </c>
      <c r="E11" s="66"/>
      <c r="F11" s="31" t="s">
        <v>219</v>
      </c>
      <c r="G11" s="227"/>
      <c r="H11" s="16"/>
      <c r="S11" s="235" t="str">
        <f>D5</f>
        <v>Mitch &amp; Katelyn</v>
      </c>
    </row>
    <row r="12" spans="2:20" ht="15" x14ac:dyDescent="0.3">
      <c r="B12" s="18"/>
      <c r="C12" s="24"/>
      <c r="D12" s="16"/>
      <c r="E12" s="27"/>
      <c r="F12" s="16"/>
      <c r="G12" s="27"/>
      <c r="H12" s="16"/>
      <c r="S12" s="235" t="str">
        <f>D14</f>
        <v>Brady &amp; Paige</v>
      </c>
    </row>
    <row r="13" spans="2:20" ht="15.6" thickBot="1" x14ac:dyDescent="0.35">
      <c r="B13" s="23"/>
      <c r="C13" s="20"/>
      <c r="D13" s="16"/>
      <c r="E13" s="27"/>
      <c r="F13" s="16"/>
      <c r="G13" s="27"/>
      <c r="H13" s="16"/>
      <c r="S13" s="235" t="str">
        <f>D23</f>
        <v>Avery &amp; Kayla</v>
      </c>
    </row>
    <row r="14" spans="2:20" ht="18.75" thickBot="1" x14ac:dyDescent="0.4">
      <c r="B14" s="30">
        <v>2</v>
      </c>
      <c r="C14" s="66"/>
      <c r="D14" s="224" t="s">
        <v>219</v>
      </c>
      <c r="E14" s="64"/>
      <c r="F14" s="16"/>
      <c r="G14" s="27"/>
      <c r="H14" s="16"/>
      <c r="L14" s="370" t="s">
        <v>152</v>
      </c>
      <c r="M14" s="371"/>
      <c r="N14" s="228"/>
      <c r="S14" s="256" t="str">
        <f>H19</f>
        <v>Brady &amp; Paige</v>
      </c>
      <c r="T14" s="257">
        <v>10</v>
      </c>
    </row>
    <row r="15" spans="2:20" ht="16.350000000000001" thickBot="1" x14ac:dyDescent="0.35">
      <c r="B15" s="23"/>
      <c r="C15" s="20"/>
      <c r="D15" s="16"/>
      <c r="E15" s="17"/>
      <c r="F15" s="16"/>
      <c r="G15" s="27"/>
      <c r="H15" s="16"/>
      <c r="L15" s="244">
        <v>1</v>
      </c>
      <c r="M15" s="245" t="s">
        <v>222</v>
      </c>
      <c r="N15" s="228"/>
      <c r="S15" s="257" t="str">
        <f>M24</f>
        <v>Avery &amp; Kayla</v>
      </c>
      <c r="T15" s="257">
        <v>8</v>
      </c>
    </row>
    <row r="16" spans="2:20" ht="16.350000000000001" thickBot="1" x14ac:dyDescent="0.35">
      <c r="B16" s="23"/>
      <c r="C16" s="20"/>
      <c r="D16" s="16"/>
      <c r="E16" s="17"/>
      <c r="F16" s="16"/>
      <c r="G16" s="27"/>
      <c r="H16" s="16"/>
      <c r="L16" s="246">
        <v>2</v>
      </c>
      <c r="M16" s="247" t="s">
        <v>35</v>
      </c>
      <c r="N16" s="228"/>
      <c r="S16" s="257" t="str">
        <f>M21</f>
        <v>Mitch &amp; Katelyn</v>
      </c>
      <c r="T16" s="257">
        <v>6</v>
      </c>
    </row>
    <row r="17" spans="2:20" ht="16.350000000000001" thickBot="1" x14ac:dyDescent="0.35">
      <c r="B17" s="15" t="s">
        <v>180</v>
      </c>
      <c r="C17" s="64"/>
      <c r="D17" s="16"/>
      <c r="E17" s="17"/>
      <c r="F17" s="66"/>
      <c r="G17" s="27"/>
      <c r="H17" s="16"/>
      <c r="L17" s="248">
        <v>3</v>
      </c>
      <c r="M17" s="249" t="s">
        <v>180</v>
      </c>
      <c r="N17" s="228"/>
      <c r="S17" s="257" t="str">
        <f>M22</f>
        <v>Dean &amp; Misty</v>
      </c>
      <c r="T17" s="257">
        <v>5</v>
      </c>
    </row>
    <row r="18" spans="2:20" ht="16.350000000000001" thickBot="1" x14ac:dyDescent="0.35">
      <c r="B18" s="225"/>
      <c r="C18" s="23"/>
      <c r="D18" s="30"/>
      <c r="E18" s="28" t="s">
        <v>54</v>
      </c>
      <c r="F18" s="66"/>
      <c r="G18" s="27"/>
      <c r="H18" s="16"/>
      <c r="L18" s="230">
        <v>4</v>
      </c>
      <c r="M18" s="231" t="s">
        <v>242</v>
      </c>
      <c r="N18" s="228"/>
      <c r="S18" s="257" t="str">
        <f>M15</f>
        <v>B-Dave &amp; Halley</v>
      </c>
      <c r="T18" s="257">
        <v>4</v>
      </c>
    </row>
    <row r="19" spans="2:20" ht="15.6" thickBot="1" x14ac:dyDescent="0.35">
      <c r="B19" s="23"/>
      <c r="C19" s="23"/>
      <c r="D19" s="30"/>
      <c r="E19" s="17"/>
      <c r="F19" s="30">
        <v>9</v>
      </c>
      <c r="G19" s="27"/>
      <c r="H19" s="226" t="s">
        <v>219</v>
      </c>
      <c r="P19" s="235" t="str">
        <f>IF(D5=B2,B8,IF(D5=B8,B2,""))</f>
        <v>Derek &amp; Whitney</v>
      </c>
      <c r="S19" s="257" t="str">
        <f>M16</f>
        <v>Chris &amp; Shelby</v>
      </c>
      <c r="T19" s="257">
        <v>3</v>
      </c>
    </row>
    <row r="20" spans="2:20" ht="21.3" thickBot="1" x14ac:dyDescent="0.4">
      <c r="B20" s="15" t="s">
        <v>222</v>
      </c>
      <c r="C20" s="227"/>
      <c r="D20" s="16"/>
      <c r="E20" s="17"/>
      <c r="F20" s="66"/>
      <c r="G20" s="27"/>
      <c r="H20" s="233" t="s">
        <v>55</v>
      </c>
      <c r="L20" s="367" t="s">
        <v>153</v>
      </c>
      <c r="M20" s="368"/>
      <c r="P20" s="235" t="str">
        <f>IF(D14=B11,B17,IF(D14=B17,B11,""))</f>
        <v>Austin &amp; Shannon</v>
      </c>
      <c r="S20" s="257" t="str">
        <f>M17</f>
        <v>Austin &amp; Shannon</v>
      </c>
      <c r="T20" s="257">
        <v>2</v>
      </c>
    </row>
    <row r="21" spans="2:20" ht="16.350000000000001" thickBot="1" x14ac:dyDescent="0.35">
      <c r="B21" s="18"/>
      <c r="C21" s="27"/>
      <c r="D21" s="16"/>
      <c r="E21" s="17"/>
      <c r="F21" s="16"/>
      <c r="G21" s="27"/>
      <c r="H21" s="18"/>
      <c r="L21" s="244">
        <v>1</v>
      </c>
      <c r="M21" s="245" t="s">
        <v>163</v>
      </c>
      <c r="P21" s="235" t="str">
        <f>IF(D23=B20,B26,IF(D23=B26,B20,""))</f>
        <v>B-Dave &amp; Halley</v>
      </c>
      <c r="S21" s="257" t="str">
        <f>M18</f>
        <v>Derek &amp; Whitney</v>
      </c>
      <c r="T21" s="257">
        <v>1</v>
      </c>
    </row>
    <row r="22" spans="2:20" ht="16.350000000000001" thickBot="1" x14ac:dyDescent="0.35">
      <c r="B22" s="18"/>
      <c r="C22" s="27"/>
      <c r="D22" s="16"/>
      <c r="E22" s="17"/>
      <c r="F22" s="16"/>
      <c r="G22" s="27"/>
      <c r="H22" s="18"/>
      <c r="L22" s="230">
        <v>2</v>
      </c>
      <c r="M22" s="231" t="s">
        <v>132</v>
      </c>
      <c r="P22" s="235" t="str">
        <f>IF(D32=B29,B35,IF(D32=B35,B29,""))</f>
        <v>Chris &amp; Shelby</v>
      </c>
    </row>
    <row r="23" spans="2:20" ht="15.6" thickBot="1" x14ac:dyDescent="0.35">
      <c r="B23" s="30">
        <v>3</v>
      </c>
      <c r="C23" s="66"/>
      <c r="D23" s="224" t="s">
        <v>25</v>
      </c>
      <c r="E23" s="227"/>
      <c r="F23" s="16"/>
      <c r="G23" s="27"/>
      <c r="H23" s="18"/>
    </row>
    <row r="24" spans="2:20" ht="16.350000000000001" thickBot="1" x14ac:dyDescent="0.35">
      <c r="B24" s="18"/>
      <c r="C24" s="27"/>
      <c r="D24" s="16"/>
      <c r="E24" s="24"/>
      <c r="F24" s="16"/>
      <c r="G24" s="27"/>
      <c r="H24" s="18"/>
      <c r="L24" s="234" t="s">
        <v>62</v>
      </c>
      <c r="M24" s="223" t="str">
        <f>IF(H19=F11,F26,IF(H19=F26,F11,""))</f>
        <v>Avery &amp; Kayla</v>
      </c>
    </row>
    <row r="25" spans="2:20" ht="18.149999999999999" x14ac:dyDescent="0.35">
      <c r="B25" s="18"/>
      <c r="C25" s="27"/>
      <c r="D25" s="16"/>
      <c r="E25" s="24"/>
      <c r="F25" s="16"/>
      <c r="G25" s="27"/>
      <c r="H25" s="18"/>
      <c r="L25" s="369" t="s">
        <v>98</v>
      </c>
      <c r="M25" s="369"/>
    </row>
    <row r="26" spans="2:20" ht="16.350000000000001" thickBot="1" x14ac:dyDescent="0.35">
      <c r="B26" s="15" t="s">
        <v>25</v>
      </c>
      <c r="C26" s="64"/>
      <c r="D26" s="30">
        <v>7</v>
      </c>
      <c r="E26" s="66"/>
      <c r="F26" s="31" t="s">
        <v>25</v>
      </c>
      <c r="G26" s="64"/>
      <c r="H26" s="30"/>
      <c r="O26" s="235" t="str">
        <f>IF(F11=D5,D14,IF(F11=D14,D5,""))</f>
        <v>Mitch &amp; Katelyn</v>
      </c>
    </row>
    <row r="27" spans="2:20" ht="15" x14ac:dyDescent="0.3">
      <c r="B27" s="225"/>
      <c r="C27" s="23"/>
      <c r="D27" s="16"/>
      <c r="E27" s="27"/>
      <c r="F27" s="16"/>
      <c r="G27" s="66"/>
      <c r="H27" s="45"/>
      <c r="O27" s="235" t="str">
        <f>IF(F26=D23,D32,IF(F26=D32,D23,""))</f>
        <v>Dean &amp; Misty</v>
      </c>
    </row>
    <row r="28" spans="2:20" ht="15" x14ac:dyDescent="0.3">
      <c r="B28" s="23"/>
      <c r="C28" s="23"/>
      <c r="D28" s="30"/>
      <c r="E28" s="27"/>
      <c r="F28" s="16"/>
      <c r="G28" s="16"/>
      <c r="H28" s="45"/>
    </row>
    <row r="29" spans="2:20" ht="16.350000000000001" thickBot="1" x14ac:dyDescent="0.35">
      <c r="B29" s="15" t="s">
        <v>132</v>
      </c>
      <c r="C29" s="227"/>
      <c r="D29" s="16"/>
      <c r="E29" s="27"/>
      <c r="F29" s="16"/>
      <c r="G29" s="16"/>
      <c r="H29" s="45"/>
    </row>
    <row r="30" spans="2:20" ht="15" x14ac:dyDescent="0.3">
      <c r="B30" s="18"/>
      <c r="C30" s="27"/>
      <c r="D30" s="16"/>
      <c r="E30" s="27"/>
      <c r="F30" s="16"/>
      <c r="G30" s="16"/>
      <c r="H30" s="45"/>
    </row>
    <row r="31" spans="2:20" ht="15" x14ac:dyDescent="0.3">
      <c r="B31" s="18"/>
      <c r="C31" s="27"/>
      <c r="D31" s="16"/>
      <c r="E31" s="27"/>
      <c r="F31" s="16"/>
      <c r="G31" s="16"/>
      <c r="H31" s="45"/>
    </row>
    <row r="32" spans="2:20" ht="16.2" thickBot="1" x14ac:dyDescent="0.35">
      <c r="B32" s="30">
        <v>4</v>
      </c>
      <c r="C32" s="66"/>
      <c r="D32" s="224" t="s">
        <v>132</v>
      </c>
      <c r="E32" s="64"/>
      <c r="F32" s="16"/>
      <c r="G32" s="83"/>
      <c r="H32" s="29"/>
    </row>
    <row r="33" spans="2:10" x14ac:dyDescent="0.3">
      <c r="B33" s="18"/>
      <c r="C33" s="27"/>
      <c r="D33" s="16"/>
      <c r="E33" s="17"/>
      <c r="F33" s="16"/>
      <c r="G33" s="66"/>
      <c r="H33" s="45"/>
    </row>
    <row r="34" spans="2:10" x14ac:dyDescent="0.3">
      <c r="B34" s="18"/>
      <c r="C34" s="27"/>
      <c r="D34" s="16"/>
      <c r="E34" s="17"/>
      <c r="F34" s="66"/>
      <c r="G34" s="66"/>
      <c r="H34" s="45"/>
    </row>
    <row r="35" spans="2:10" ht="16.2" thickBot="1" x14ac:dyDescent="0.35">
      <c r="B35" s="15" t="s">
        <v>35</v>
      </c>
      <c r="C35" s="64"/>
      <c r="D35" s="16"/>
      <c r="E35" s="17"/>
      <c r="F35" s="66"/>
      <c r="G35" s="66"/>
      <c r="H35" s="18"/>
    </row>
    <row r="41" spans="2:10" x14ac:dyDescent="0.3">
      <c r="D41" s="21"/>
      <c r="E41" s="25"/>
      <c r="F41" s="18"/>
      <c r="G41" s="44"/>
      <c r="H41" s="34"/>
      <c r="I41" s="43"/>
      <c r="J41" s="34"/>
    </row>
  </sheetData>
  <mergeCells count="4">
    <mergeCell ref="P9:R9"/>
    <mergeCell ref="L20:M20"/>
    <mergeCell ref="L25:M25"/>
    <mergeCell ref="L14:M14"/>
  </mergeCells>
  <dataValidations count="13">
    <dataValidation type="list" allowBlank="1" showInputMessage="1" showErrorMessage="1" sqref="B2 B26" xr:uid="{00000000-0002-0000-0400-000000000000}">
      <formula1>$O$3:$O$6</formula1>
    </dataValidation>
    <dataValidation type="list" allowBlank="1" showInputMessage="1" showErrorMessage="1" sqref="B8 B20" xr:uid="{00000000-0002-0000-0400-000001000000}">
      <formula1>$P$3:$P$6</formula1>
    </dataValidation>
    <dataValidation type="list" allowBlank="1" showInputMessage="1" showErrorMessage="1" sqref="B11 B35" xr:uid="{00000000-0002-0000-0400-000002000000}">
      <formula1>$Q$3:$Q$6</formula1>
    </dataValidation>
    <dataValidation type="list" allowBlank="1" showInputMessage="1" showErrorMessage="1" sqref="B17 B29" xr:uid="{00000000-0002-0000-0400-000003000000}">
      <formula1>$R$3:$R$6</formula1>
    </dataValidation>
    <dataValidation type="list" allowBlank="1" showInputMessage="1" showErrorMessage="1" sqref="M21:M22" xr:uid="{00000000-0002-0000-0400-000004000000}">
      <formula1>$O$26:$O$27</formula1>
    </dataValidation>
    <dataValidation type="list" allowBlank="1" showInputMessage="1" showErrorMessage="1" sqref="D5" xr:uid="{00000000-0002-0000-0400-000006000000}">
      <formula1>$H$2:$H$3</formula1>
    </dataValidation>
    <dataValidation type="list" allowBlank="1" showInputMessage="1" showErrorMessage="1" sqref="D14" xr:uid="{00000000-0002-0000-0400-000007000000}">
      <formula1>$H$4:$H$5</formula1>
    </dataValidation>
    <dataValidation type="list" allowBlank="1" showInputMessage="1" showErrorMessage="1" sqref="M15:M18" xr:uid="{00000000-0002-0000-0400-00000A000000}">
      <formula1>$P$19:$P$22</formula1>
    </dataValidation>
    <dataValidation type="list" allowBlank="1" showInputMessage="1" showErrorMessage="1" sqref="F11" xr:uid="{00000000-0002-0000-0400-00000B000000}">
      <formula1>$I$2:$I$3</formula1>
    </dataValidation>
    <dataValidation type="list" allowBlank="1" showInputMessage="1" showErrorMessage="1" sqref="F26" xr:uid="{00000000-0002-0000-0400-00000C000000}">
      <formula1>$I$4:$I$5</formula1>
    </dataValidation>
    <dataValidation type="list" allowBlank="1" showInputMessage="1" showErrorMessage="1" sqref="H19" xr:uid="{00000000-0002-0000-0400-000005000000}">
      <formula1>$I$6:$I$7</formula1>
    </dataValidation>
    <dataValidation type="list" allowBlank="1" showInputMessage="1" showErrorMessage="1" sqref="D23" xr:uid="{00000000-0002-0000-0400-000008000000}">
      <formula1>$H$6:$H$7</formula1>
    </dataValidation>
    <dataValidation type="list" allowBlank="1" showInputMessage="1" showErrorMessage="1" sqref="D32" xr:uid="{00000000-0002-0000-0400-000009000000}">
      <formula1>$H$8:$H$9</formula1>
    </dataValidation>
  </dataValidations>
  <hyperlinks>
    <hyperlink ref="P9" location="Scoreboard!A1" display="Return to Scoreboard" xr:uid="{00000000-0004-0000-0400-000000000000}"/>
  </hyperlink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D000000}">
          <x14:formula1>
            <xm:f>Scoreboard!$C$4:$C$19</xm:f>
          </x14:formula1>
          <xm:sqref>O3:R6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V32"/>
  <sheetViews>
    <sheetView showGridLines="0" showRowColHeaders="0" showZeros="0" zoomScale="130" zoomScaleNormal="130" workbookViewId="0">
      <selection activeCell="M16" sqref="M16:R17"/>
    </sheetView>
  </sheetViews>
  <sheetFormatPr defaultRowHeight="14.4" x14ac:dyDescent="0.3"/>
  <cols>
    <col min="5" max="5" width="9.77734375" customWidth="1"/>
    <col min="6" max="6" width="8.5546875" customWidth="1"/>
    <col min="8" max="8" width="9.44140625" customWidth="1"/>
    <col min="11" max="11" width="9.44140625" customWidth="1"/>
    <col min="14" max="14" width="9.44140625" customWidth="1"/>
    <col min="17" max="17" width="1.21875" customWidth="1"/>
    <col min="18" max="18" width="2.44140625" customWidth="1"/>
  </cols>
  <sheetData>
    <row r="1" spans="2:22" ht="9.6" customHeight="1" x14ac:dyDescent="0.3"/>
    <row r="2" spans="2:22" ht="9.6" customHeight="1" thickBot="1" x14ac:dyDescent="0.35"/>
    <row r="3" spans="2:22" ht="18.75" thickBot="1" x14ac:dyDescent="0.4">
      <c r="D3" s="382" t="s">
        <v>121</v>
      </c>
      <c r="E3" s="384"/>
      <c r="G3" s="382" t="s">
        <v>122</v>
      </c>
      <c r="H3" s="384"/>
      <c r="J3" s="382" t="s">
        <v>123</v>
      </c>
      <c r="K3" s="384"/>
      <c r="M3" s="382" t="s">
        <v>124</v>
      </c>
      <c r="N3" s="384"/>
    </row>
    <row r="4" spans="2:22" ht="18.75" thickBot="1" x14ac:dyDescent="0.4">
      <c r="C4" s="162">
        <v>1</v>
      </c>
      <c r="D4" s="372"/>
      <c r="E4" s="374"/>
      <c r="F4" s="162">
        <v>1</v>
      </c>
      <c r="G4" s="372"/>
      <c r="H4" s="374"/>
      <c r="I4" s="162">
        <v>1</v>
      </c>
      <c r="J4" s="372"/>
      <c r="K4" s="374"/>
      <c r="L4" s="162">
        <v>1</v>
      </c>
      <c r="M4" s="372"/>
      <c r="N4" s="374"/>
    </row>
    <row r="5" spans="2:22" ht="18.75" thickBot="1" x14ac:dyDescent="0.4">
      <c r="C5" s="162">
        <v>2</v>
      </c>
      <c r="D5" s="372"/>
      <c r="E5" s="374"/>
      <c r="F5" s="162">
        <v>2</v>
      </c>
      <c r="G5" s="372"/>
      <c r="H5" s="374"/>
      <c r="I5" s="162">
        <v>2</v>
      </c>
      <c r="J5" s="372"/>
      <c r="K5" s="374"/>
      <c r="L5" s="162">
        <v>2</v>
      </c>
      <c r="M5" s="372"/>
      <c r="N5" s="374"/>
    </row>
    <row r="6" spans="2:22" ht="18.75" hidden="1" thickBot="1" x14ac:dyDescent="0.4">
      <c r="C6" s="162">
        <v>3</v>
      </c>
      <c r="D6" s="372"/>
      <c r="E6" s="374"/>
      <c r="F6" s="162">
        <v>3</v>
      </c>
      <c r="G6" s="372"/>
      <c r="H6" s="374"/>
      <c r="I6" s="162">
        <v>3</v>
      </c>
      <c r="J6" s="372"/>
      <c r="K6" s="374"/>
      <c r="L6" s="162">
        <v>3</v>
      </c>
      <c r="M6" s="372"/>
      <c r="N6" s="374"/>
    </row>
    <row r="7" spans="2:22" ht="18.75" hidden="1" thickBot="1" x14ac:dyDescent="0.4">
      <c r="C7" s="162">
        <v>4</v>
      </c>
      <c r="D7" s="372"/>
      <c r="E7" s="374"/>
      <c r="F7" s="162">
        <v>4</v>
      </c>
      <c r="G7" s="372"/>
      <c r="H7" s="374"/>
      <c r="I7" s="162">
        <v>4</v>
      </c>
      <c r="J7" s="372"/>
      <c r="K7" s="374"/>
      <c r="L7" s="162">
        <v>4</v>
      </c>
      <c r="M7" s="372"/>
      <c r="N7" s="374"/>
    </row>
    <row r="8" spans="2:22" ht="7.5" customHeight="1" thickBot="1" x14ac:dyDescent="0.4">
      <c r="D8" s="190"/>
      <c r="E8" s="189"/>
      <c r="G8" s="189"/>
      <c r="H8" s="190"/>
      <c r="J8" s="190"/>
      <c r="K8" s="189"/>
      <c r="M8" s="189"/>
      <c r="N8" s="190"/>
    </row>
    <row r="9" spans="2:22" ht="18.75" thickBot="1" x14ac:dyDescent="0.4">
      <c r="B9" t="s">
        <v>6</v>
      </c>
      <c r="E9" s="375" t="s">
        <v>125</v>
      </c>
      <c r="F9" s="376"/>
      <c r="G9" s="377"/>
      <c r="K9" s="387" t="s">
        <v>126</v>
      </c>
      <c r="L9" s="388"/>
      <c r="M9" s="389"/>
    </row>
    <row r="10" spans="2:22" ht="21" customHeight="1" thickBot="1" x14ac:dyDescent="0.4">
      <c r="E10" s="372">
        <f>D5</f>
        <v>0</v>
      </c>
      <c r="F10" s="373"/>
      <c r="G10" s="374"/>
      <c r="K10" s="372">
        <f>D4</f>
        <v>0</v>
      </c>
      <c r="L10" s="373"/>
      <c r="M10" s="374"/>
      <c r="V10">
        <f>D4</f>
        <v>0</v>
      </c>
    </row>
    <row r="11" spans="2:22" ht="21" customHeight="1" thickBot="1" x14ac:dyDescent="0.4">
      <c r="E11" s="372">
        <f>G5</f>
        <v>0</v>
      </c>
      <c r="F11" s="373"/>
      <c r="G11" s="374"/>
      <c r="K11" s="372">
        <f>G4</f>
        <v>0</v>
      </c>
      <c r="L11" s="373"/>
      <c r="M11" s="374"/>
      <c r="V11">
        <f>G4</f>
        <v>0</v>
      </c>
    </row>
    <row r="12" spans="2:22" ht="21" customHeight="1" thickBot="1" x14ac:dyDescent="0.4">
      <c r="E12" s="372">
        <f>J5</f>
        <v>0</v>
      </c>
      <c r="F12" s="373"/>
      <c r="G12" s="374"/>
      <c r="K12" s="372">
        <f>J4</f>
        <v>0</v>
      </c>
      <c r="L12" s="373"/>
      <c r="M12" s="374"/>
      <c r="V12">
        <f>J4</f>
        <v>0</v>
      </c>
    </row>
    <row r="13" spans="2:22" ht="21" customHeight="1" thickBot="1" x14ac:dyDescent="0.4">
      <c r="E13" s="372">
        <f>M5</f>
        <v>0</v>
      </c>
      <c r="F13" s="373"/>
      <c r="G13" s="374"/>
      <c r="K13" s="372">
        <f>M4</f>
        <v>0</v>
      </c>
      <c r="L13" s="373"/>
      <c r="M13" s="374"/>
      <c r="V13">
        <f>M4</f>
        <v>0</v>
      </c>
    </row>
    <row r="14" spans="2:22" ht="13.2" customHeight="1" thickBot="1" x14ac:dyDescent="0.4">
      <c r="E14" s="190"/>
      <c r="F14" s="190"/>
      <c r="G14" s="190"/>
      <c r="K14" s="190"/>
      <c r="L14" s="190"/>
      <c r="M14" s="190"/>
    </row>
    <row r="15" spans="2:22" ht="18.75" thickBot="1" x14ac:dyDescent="0.4">
      <c r="H15" s="382" t="s">
        <v>127</v>
      </c>
      <c r="I15" s="383"/>
      <c r="J15" s="384"/>
    </row>
    <row r="16" spans="2:22" ht="19.05" customHeight="1" thickBot="1" x14ac:dyDescent="0.4">
      <c r="G16" s="162">
        <v>1</v>
      </c>
      <c r="H16" s="378"/>
      <c r="I16" s="379"/>
      <c r="J16" s="380"/>
      <c r="K16" s="385"/>
      <c r="L16" s="386"/>
      <c r="M16" s="381" t="s">
        <v>68</v>
      </c>
      <c r="N16" s="381"/>
      <c r="O16" s="381"/>
      <c r="P16" s="381"/>
      <c r="Q16" s="381"/>
      <c r="R16" s="381"/>
    </row>
    <row r="17" spans="7:18" ht="19.05" customHeight="1" thickBot="1" x14ac:dyDescent="0.4">
      <c r="G17" s="162">
        <v>2</v>
      </c>
      <c r="H17" s="378"/>
      <c r="I17" s="379"/>
      <c r="J17" s="380"/>
      <c r="M17" s="381"/>
      <c r="N17" s="381"/>
      <c r="O17" s="381"/>
      <c r="P17" s="381"/>
      <c r="Q17" s="381"/>
      <c r="R17" s="381"/>
    </row>
    <row r="18" spans="7:18" ht="18.75" thickBot="1" x14ac:dyDescent="0.4">
      <c r="G18" s="162">
        <v>3</v>
      </c>
      <c r="H18" s="378"/>
      <c r="I18" s="379"/>
      <c r="J18" s="380"/>
      <c r="L18" t="s">
        <v>6</v>
      </c>
    </row>
    <row r="19" spans="7:18" ht="18.75" thickBot="1" x14ac:dyDescent="0.4">
      <c r="G19" s="162">
        <v>4</v>
      </c>
      <c r="H19" s="378"/>
      <c r="I19" s="379"/>
      <c r="J19" s="380"/>
    </row>
    <row r="20" spans="7:18" ht="18.75" thickBot="1" x14ac:dyDescent="0.4">
      <c r="G20" s="162">
        <v>5</v>
      </c>
      <c r="H20" s="378"/>
      <c r="I20" s="379"/>
      <c r="J20" s="380"/>
      <c r="K20" t="s">
        <v>139</v>
      </c>
    </row>
    <row r="21" spans="7:18" ht="18.75" thickBot="1" x14ac:dyDescent="0.4">
      <c r="G21" s="162">
        <v>6</v>
      </c>
      <c r="H21" s="378"/>
      <c r="I21" s="379"/>
      <c r="J21" s="380"/>
    </row>
    <row r="22" spans="7:18" ht="18.75" thickBot="1" x14ac:dyDescent="0.4">
      <c r="G22" s="162">
        <v>7</v>
      </c>
      <c r="H22" s="378"/>
      <c r="I22" s="379"/>
      <c r="J22" s="380"/>
    </row>
    <row r="23" spans="7:18" ht="18.75" thickBot="1" x14ac:dyDescent="0.4">
      <c r="G23" s="162">
        <v>8</v>
      </c>
      <c r="H23" s="378"/>
      <c r="I23" s="379"/>
      <c r="J23" s="380"/>
    </row>
    <row r="25" spans="7:18" ht="15" hidden="1" x14ac:dyDescent="0.3">
      <c r="H25">
        <f>H16</f>
        <v>0</v>
      </c>
      <c r="I25">
        <v>10</v>
      </c>
    </row>
    <row r="26" spans="7:18" ht="15" hidden="1" x14ac:dyDescent="0.3">
      <c r="H26">
        <f t="shared" ref="H26:H32" si="0">H17</f>
        <v>0</v>
      </c>
      <c r="I26">
        <v>8</v>
      </c>
    </row>
    <row r="27" spans="7:18" ht="15" hidden="1" x14ac:dyDescent="0.3">
      <c r="H27">
        <f t="shared" si="0"/>
        <v>0</v>
      </c>
      <c r="I27">
        <v>6</v>
      </c>
    </row>
    <row r="28" spans="7:18" ht="15" hidden="1" x14ac:dyDescent="0.3">
      <c r="H28">
        <f t="shared" si="0"/>
        <v>0</v>
      </c>
      <c r="I28">
        <v>5</v>
      </c>
    </row>
    <row r="29" spans="7:18" ht="15" hidden="1" x14ac:dyDescent="0.3">
      <c r="H29">
        <f t="shared" si="0"/>
        <v>0</v>
      </c>
      <c r="I29">
        <v>4</v>
      </c>
    </row>
    <row r="30" spans="7:18" ht="15" hidden="1" x14ac:dyDescent="0.3">
      <c r="H30">
        <f t="shared" si="0"/>
        <v>0</v>
      </c>
      <c r="I30">
        <v>3</v>
      </c>
    </row>
    <row r="31" spans="7:18" ht="15" hidden="1" x14ac:dyDescent="0.3">
      <c r="H31">
        <f t="shared" si="0"/>
        <v>0</v>
      </c>
      <c r="I31">
        <v>2</v>
      </c>
    </row>
    <row r="32" spans="7:18" ht="15" hidden="1" x14ac:dyDescent="0.3">
      <c r="H32">
        <f t="shared" si="0"/>
        <v>0</v>
      </c>
      <c r="I32">
        <v>1</v>
      </c>
    </row>
  </sheetData>
  <mergeCells count="41">
    <mergeCell ref="D3:E3"/>
    <mergeCell ref="D4:E4"/>
    <mergeCell ref="D5:E5"/>
    <mergeCell ref="D6:E6"/>
    <mergeCell ref="D7:E7"/>
    <mergeCell ref="G3:H3"/>
    <mergeCell ref="G4:H4"/>
    <mergeCell ref="G5:H5"/>
    <mergeCell ref="G6:H6"/>
    <mergeCell ref="G7:H7"/>
    <mergeCell ref="M3:N3"/>
    <mergeCell ref="M4:N4"/>
    <mergeCell ref="M5:N5"/>
    <mergeCell ref="M6:N6"/>
    <mergeCell ref="M7:N7"/>
    <mergeCell ref="J3:K3"/>
    <mergeCell ref="J4:K4"/>
    <mergeCell ref="J5:K5"/>
    <mergeCell ref="J6:K6"/>
    <mergeCell ref="J7:K7"/>
    <mergeCell ref="K9:M9"/>
    <mergeCell ref="K10:M10"/>
    <mergeCell ref="K11:M11"/>
    <mergeCell ref="K12:M12"/>
    <mergeCell ref="K13:M13"/>
    <mergeCell ref="H21:J21"/>
    <mergeCell ref="H22:J22"/>
    <mergeCell ref="H23:J23"/>
    <mergeCell ref="M16:R17"/>
    <mergeCell ref="H15:J15"/>
    <mergeCell ref="H16:J16"/>
    <mergeCell ref="H17:J17"/>
    <mergeCell ref="H18:J18"/>
    <mergeCell ref="H19:J19"/>
    <mergeCell ref="H20:J20"/>
    <mergeCell ref="K16:L16"/>
    <mergeCell ref="E13:G13"/>
    <mergeCell ref="E12:G12"/>
    <mergeCell ref="E11:G11"/>
    <mergeCell ref="E10:G10"/>
    <mergeCell ref="E9:G9"/>
  </mergeCells>
  <dataValidations count="3">
    <dataValidation type="list" allowBlank="1" showInputMessage="1" showErrorMessage="1" sqref="H16:J19" xr:uid="{7169A7C3-F768-4ADC-ACD2-7717119E05AB}">
      <formula1>$K$10:$K$13</formula1>
    </dataValidation>
    <dataValidation type="list" allowBlank="1" showInputMessage="1" showErrorMessage="1" sqref="H20:J23" xr:uid="{D578EBEC-30F9-4171-80F4-F0BB331BD89C}">
      <formula1>$E$10:$E$13</formula1>
    </dataValidation>
    <dataValidation type="list" allowBlank="1" showInputMessage="1" showErrorMessage="1" sqref="J6:K7 M6:N7 G6:H7" xr:uid="{A3CF3B20-E01B-423C-9FB2-40E2B442BC09}">
      <formula1>$C$5:$C$19</formula1>
    </dataValidation>
  </dataValidations>
  <hyperlinks>
    <hyperlink ref="M16" location="Scoreboard!A1" display="Return to Scoreboard" xr:uid="{00000000-0004-0000-09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A8165B5-00E9-490E-B309-C5AAF32FA72B}">
          <x14:formula1>
            <xm:f>'C:\Users\TR042856\Documents\Sports\[Yard Games 2017.xlsx]Scoreboard'!#REF!</xm:f>
          </x14:formula1>
          <xm:sqref>G8:H8 M8:N8 J8:K8 D8:E8</xm:sqref>
        </x14:dataValidation>
        <x14:dataValidation type="list" allowBlank="1" showInputMessage="1" showErrorMessage="1" xr:uid="{91577013-374E-4590-88DF-6776B96777C6}">
          <x14:formula1>
            <xm:f>Scoreboard!$C$4:$C$19</xm:f>
          </x14:formula1>
          <xm:sqref>D6:E7 D4:E4 G4:H4 J4:K4 M4:N4 M5:N5 J5:K5 G5:H5 D5:E5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2:Y24"/>
  <sheetViews>
    <sheetView showGridLines="0" zoomScale="110" zoomScaleNormal="110" workbookViewId="0">
      <selection activeCell="G19" sqref="G19"/>
    </sheetView>
  </sheetViews>
  <sheetFormatPr defaultRowHeight="14.4" x14ac:dyDescent="0.3"/>
  <cols>
    <col min="4" max="4" width="13.44140625" customWidth="1"/>
    <col min="8" max="8" width="14.6640625" customWidth="1"/>
    <col min="11" max="11" width="28.21875" customWidth="1"/>
    <col min="12" max="12" width="11.109375" hidden="1" customWidth="1"/>
    <col min="13" max="15" width="8.5546875" hidden="1" customWidth="1"/>
    <col min="16" max="16" width="6.5546875" customWidth="1"/>
    <col min="17" max="17" width="9.5546875" hidden="1" customWidth="1"/>
    <col min="18" max="19" width="8.5546875" hidden="1" customWidth="1"/>
    <col min="20" max="20" width="16.109375" hidden="1" customWidth="1"/>
    <col min="21" max="21" width="19.5546875" hidden="1" customWidth="1"/>
    <col min="22" max="22" width="20.5546875" customWidth="1"/>
    <col min="23" max="23" width="14.44140625" customWidth="1"/>
  </cols>
  <sheetData>
    <row r="2" spans="2:25" ht="15" x14ac:dyDescent="0.3">
      <c r="X2" s="8"/>
      <c r="Y2" s="8"/>
    </row>
    <row r="3" spans="2:25" ht="28.2" x14ac:dyDescent="0.5">
      <c r="I3" t="s">
        <v>6</v>
      </c>
      <c r="V3" s="337" t="s">
        <v>68</v>
      </c>
      <c r="W3" s="337"/>
      <c r="X3" s="337"/>
    </row>
    <row r="5" spans="2:25" ht="15" hidden="1" x14ac:dyDescent="0.3"/>
    <row r="6" spans="2:25" ht="15" hidden="1" x14ac:dyDescent="0.3"/>
    <row r="7" spans="2:25" ht="15.6" thickBot="1" x14ac:dyDescent="0.35">
      <c r="W7" t="s">
        <v>6</v>
      </c>
    </row>
    <row r="8" spans="2:25" ht="24" customHeight="1" thickBot="1" x14ac:dyDescent="0.5">
      <c r="C8" s="103"/>
      <c r="D8" s="103"/>
      <c r="E8" s="103"/>
      <c r="F8" s="103"/>
      <c r="G8" s="103"/>
      <c r="H8" s="103"/>
      <c r="I8" s="103"/>
      <c r="J8" s="122" t="s">
        <v>83</v>
      </c>
      <c r="K8" s="104" t="s">
        <v>136</v>
      </c>
      <c r="L8" s="105" t="s">
        <v>84</v>
      </c>
      <c r="M8" s="105" t="s">
        <v>85</v>
      </c>
      <c r="N8" s="105" t="s">
        <v>86</v>
      </c>
      <c r="O8" s="105" t="s">
        <v>87</v>
      </c>
      <c r="P8" s="106" t="s">
        <v>102</v>
      </c>
      <c r="Q8" s="100" t="s">
        <v>88</v>
      </c>
      <c r="S8" t="s">
        <v>81</v>
      </c>
      <c r="T8" t="s">
        <v>101</v>
      </c>
    </row>
    <row r="9" spans="2:25" ht="24" customHeight="1" thickBot="1" x14ac:dyDescent="0.5">
      <c r="C9" s="338" t="s">
        <v>140</v>
      </c>
      <c r="D9" s="339"/>
      <c r="E9" s="103"/>
      <c r="F9" s="103"/>
      <c r="G9" s="340" t="s">
        <v>141</v>
      </c>
      <c r="H9" s="341"/>
      <c r="I9" s="103"/>
      <c r="J9" s="217">
        <f t="shared" ref="J9:J24" si="0">RANK(P9,$P$9:$P$24,0)</f>
        <v>3</v>
      </c>
      <c r="K9" s="107" t="str">
        <f>Knockout7[[#This Row],[Column5]]</f>
        <v>Avery &amp; Kayla</v>
      </c>
      <c r="L9" s="108" t="str">
        <f>LEFT(Knockout7[[#This Row],[Column5]],FIND(" ",Knockout7[[#This Row],[Column5]],1))</f>
        <v xml:space="preserve">Avery </v>
      </c>
      <c r="M9" s="108" t="str">
        <f t="shared" ref="M9:M22" si="1">RIGHT(Q9,LEN(Q9)-FIND("*",SUBSTITUTE(Q9," ","*",LEN(Q9)-LEN(SUBSTITUTE(Q9," ","")))))</f>
        <v>Kayla</v>
      </c>
      <c r="N9" s="108">
        <f>IF($C$10=M9,10,IF($C$11=M9,8,IF($C$12=M9,6,(IF($C$13=M9,5,(IF($C$14=M9,4,IF($C$15=M9,3,IF($C$16=M9,2,IF($C$17=M9,1,0))))))))))</f>
        <v>4</v>
      </c>
      <c r="O9" s="108">
        <f t="shared" ref="O9:O22" si="2">IF($G$10=L9,10,IF($G$11=L9,8,IF($G$12=L9,6,(IF($G$13=L9,5,(IF($G$14=L9,4,IF($G$15=L9,3,IF($G$16=L9,2,IF($G$17=L9,1,0))))))))))</f>
        <v>8</v>
      </c>
      <c r="P9" s="111">
        <f t="shared" ref="P9:P22" si="3">SUM(N9:O9)</f>
        <v>12</v>
      </c>
      <c r="Q9" s="101" t="str">
        <f>Scoreboard!C4</f>
        <v>Avery &amp; Kayla</v>
      </c>
      <c r="S9">
        <f>IF(P9&lt;&gt;0,SUM(N9:O9)," ")</f>
        <v>12</v>
      </c>
      <c r="T9" s="213" t="str">
        <f ca="1">IFERROR(OFFSET($K$9,MATCH(LARGE($P$9:$P$24,1),$S$9:$S$24,0)-1,0)," ")</f>
        <v>Thadd &amp; Jordan</v>
      </c>
      <c r="U9" s="123">
        <v>10</v>
      </c>
    </row>
    <row r="10" spans="2:25" ht="24" customHeight="1" thickBot="1" x14ac:dyDescent="0.5">
      <c r="B10" s="103">
        <v>1</v>
      </c>
      <c r="C10" s="335" t="s">
        <v>236</v>
      </c>
      <c r="D10" s="336"/>
      <c r="E10" s="103"/>
      <c r="F10" s="103">
        <v>1</v>
      </c>
      <c r="G10" s="335" t="s">
        <v>239</v>
      </c>
      <c r="H10" s="336"/>
      <c r="I10" s="103"/>
      <c r="J10" s="218">
        <f t="shared" si="0"/>
        <v>4</v>
      </c>
      <c r="K10" s="109" t="str">
        <f>Knockout7[[#This Row],[Column5]]</f>
        <v>Brady &amp; Paige</v>
      </c>
      <c r="L10" s="108" t="str">
        <f>LEFT(Knockout7[[#This Row],[Column5]],FIND(" ",Knockout7[[#This Row],[Column5]],1))</f>
        <v xml:space="preserve">Brady </v>
      </c>
      <c r="M10" s="110" t="str">
        <f t="shared" si="1"/>
        <v>Paige</v>
      </c>
      <c r="N10" s="110">
        <f t="shared" ref="N10:N22" si="4">IF($C$10=M10,10,IF($C$11=M10,8,IF($C$12=M10,6,(IF($C$13=M10,5,(IF($C$14=M10,4,IF($C$15=M10,3,IF($C$16=M10,2,IF($C$17=M10,1,0))))))))))</f>
        <v>5</v>
      </c>
      <c r="O10" s="110">
        <f t="shared" si="2"/>
        <v>6</v>
      </c>
      <c r="P10" s="111">
        <f t="shared" si="3"/>
        <v>11</v>
      </c>
      <c r="Q10" s="101" t="str">
        <f>Scoreboard!C5</f>
        <v>Brady &amp; Paige</v>
      </c>
      <c r="S10">
        <f t="shared" ref="S10:S20" si="5">IF(P10&lt;&gt;0,SUM(N10:O10)," ")</f>
        <v>11</v>
      </c>
      <c r="T10" s="213" t="str">
        <f ca="1">IFERROR(OFFSET($K$9,MATCH(LARGE($P$9:$P$24,2),$S$9:$S$24,0)-1,0)," ")</f>
        <v>Dean &amp; Misty</v>
      </c>
      <c r="U10" s="123">
        <v>8</v>
      </c>
    </row>
    <row r="11" spans="2:25" ht="24" customHeight="1" thickBot="1" x14ac:dyDescent="0.5">
      <c r="B11" s="103">
        <v>2</v>
      </c>
      <c r="C11" s="333" t="s">
        <v>223</v>
      </c>
      <c r="D11" s="334"/>
      <c r="E11" s="103"/>
      <c r="F11" s="103">
        <v>2</v>
      </c>
      <c r="G11" s="333" t="s">
        <v>248</v>
      </c>
      <c r="H11" s="334"/>
      <c r="I11" s="103"/>
      <c r="J11" s="218">
        <f t="shared" si="0"/>
        <v>8</v>
      </c>
      <c r="K11" s="109" t="str">
        <f>Knockout7[[#This Row],[Column5]]</f>
        <v>Ty &amp; Angela</v>
      </c>
      <c r="L11" s="110" t="str">
        <f>LEFT(Knockout7[[#This Row],[Column5]],FIND(" ",Knockout7[[#This Row],[Column5]],1))</f>
        <v xml:space="preserve">Ty </v>
      </c>
      <c r="M11" s="110" t="str">
        <f t="shared" si="1"/>
        <v>Angela</v>
      </c>
      <c r="N11" s="110">
        <f t="shared" si="4"/>
        <v>2</v>
      </c>
      <c r="O11" s="110">
        <v>1.5</v>
      </c>
      <c r="P11" s="111">
        <f>SUM(N11:O11)</f>
        <v>3.5</v>
      </c>
      <c r="Q11" s="101" t="str">
        <f>Scoreboard!C6</f>
        <v>Ty &amp; Angela</v>
      </c>
      <c r="S11">
        <f t="shared" si="5"/>
        <v>3.5</v>
      </c>
      <c r="T11" s="213" t="str">
        <f ca="1">IFERROR(OFFSET($K$9,MATCH(LARGE($P$9:$P$24,3),$S$9:$S$24,0)-1,0)," ")</f>
        <v>Avery &amp; Kayla</v>
      </c>
      <c r="U11" s="123">
        <v>6</v>
      </c>
    </row>
    <row r="12" spans="2:25" ht="24" customHeight="1" thickBot="1" x14ac:dyDescent="0.5">
      <c r="B12" s="103">
        <v>3</v>
      </c>
      <c r="C12" s="333" t="s">
        <v>226</v>
      </c>
      <c r="D12" s="334"/>
      <c r="E12" s="103"/>
      <c r="F12" s="103">
        <v>3</v>
      </c>
      <c r="G12" s="333" t="s">
        <v>232</v>
      </c>
      <c r="H12" s="334"/>
      <c r="I12" s="103"/>
      <c r="J12" s="218">
        <f t="shared" si="0"/>
        <v>5</v>
      </c>
      <c r="K12" s="109" t="str">
        <f>Knockout7[[#This Row],[Column5]]</f>
        <v>Austin &amp; Shannon</v>
      </c>
      <c r="L12" s="110" t="str">
        <f>LEFT(Knockout7[[#This Row],[Column5]],FIND(" ",Knockout7[[#This Row],[Column5]],1))</f>
        <v xml:space="preserve">Austin </v>
      </c>
      <c r="M12" s="110" t="str">
        <f t="shared" si="1"/>
        <v>Shannon</v>
      </c>
      <c r="N12" s="110">
        <f t="shared" si="4"/>
        <v>8</v>
      </c>
      <c r="O12" s="110">
        <v>1.5</v>
      </c>
      <c r="P12" s="111">
        <f>SUM(N12:O12)</f>
        <v>9.5</v>
      </c>
      <c r="Q12" s="101" t="str">
        <f>Scoreboard!C7</f>
        <v>Austin &amp; Shannon</v>
      </c>
      <c r="S12">
        <f>IF(P12&lt;&gt;0,SUM(N12:O12)," ")</f>
        <v>9.5</v>
      </c>
      <c r="T12" s="213" t="str">
        <f ca="1">IFERROR(OFFSET($K$9,MATCH(LARGE($P$9:$P$24,4),$S$9:$S$24,0)-1,0)," ")</f>
        <v>Brady &amp; Paige</v>
      </c>
      <c r="U12" s="123">
        <v>5</v>
      </c>
    </row>
    <row r="13" spans="2:25" ht="24" customHeight="1" thickBot="1" x14ac:dyDescent="0.5">
      <c r="B13" s="103">
        <v>4</v>
      </c>
      <c r="C13" s="333" t="s">
        <v>252</v>
      </c>
      <c r="D13" s="334"/>
      <c r="E13" s="103"/>
      <c r="F13" s="103">
        <v>4</v>
      </c>
      <c r="G13" s="333" t="s">
        <v>241</v>
      </c>
      <c r="H13" s="334"/>
      <c r="I13" s="103"/>
      <c r="J13" s="218">
        <f t="shared" si="0"/>
        <v>2</v>
      </c>
      <c r="K13" s="109" t="str">
        <f>Knockout7[[#This Row],[Column5]]</f>
        <v>Dean &amp; Misty</v>
      </c>
      <c r="L13" s="110" t="str">
        <f>LEFT(Knockout7[[#This Row],[Column5]],FIND(" ",Knockout7[[#This Row],[Column5]],1))</f>
        <v xml:space="preserve">Dean </v>
      </c>
      <c r="M13" s="110" t="str">
        <f t="shared" si="1"/>
        <v>Misty</v>
      </c>
      <c r="N13" s="110">
        <f t="shared" si="4"/>
        <v>10</v>
      </c>
      <c r="O13" s="110">
        <f t="shared" si="2"/>
        <v>4</v>
      </c>
      <c r="P13" s="111">
        <f t="shared" si="3"/>
        <v>14</v>
      </c>
      <c r="Q13" s="101" t="str">
        <f>Scoreboard!C8</f>
        <v>Dean &amp; Misty</v>
      </c>
      <c r="S13">
        <f t="shared" si="5"/>
        <v>14</v>
      </c>
      <c r="T13" s="213" t="str">
        <f ca="1">IFERROR(OFFSET($K$9,MATCH(LARGE($P$9:$P$24,5),$S$9:$S$24,0)-1,0)," ")</f>
        <v>Austin &amp; Shannon</v>
      </c>
      <c r="U13" s="123">
        <v>4</v>
      </c>
    </row>
    <row r="14" spans="2:25" ht="24" customHeight="1" thickBot="1" x14ac:dyDescent="0.5">
      <c r="B14" s="103">
        <v>5</v>
      </c>
      <c r="C14" s="333" t="s">
        <v>224</v>
      </c>
      <c r="D14" s="334"/>
      <c r="E14" s="103"/>
      <c r="F14" s="103">
        <v>5</v>
      </c>
      <c r="G14" s="333" t="s">
        <v>233</v>
      </c>
      <c r="H14" s="334"/>
      <c r="I14" s="103"/>
      <c r="J14" s="218">
        <f t="shared" si="0"/>
        <v>1</v>
      </c>
      <c r="K14" s="109" t="str">
        <f>Knockout7[[#This Row],[Column5]]</f>
        <v>Thadd &amp; Jordan</v>
      </c>
      <c r="L14" s="110" t="str">
        <f>LEFT(Knockout7[[#This Row],[Column5]],FIND(" ",Knockout7[[#This Row],[Column5]],1))</f>
        <v xml:space="preserve">Thadd </v>
      </c>
      <c r="M14" s="110" t="str">
        <f t="shared" si="1"/>
        <v>Jordan</v>
      </c>
      <c r="N14" s="110">
        <f t="shared" si="4"/>
        <v>6</v>
      </c>
      <c r="O14" s="110">
        <f t="shared" si="2"/>
        <v>10</v>
      </c>
      <c r="P14" s="111">
        <f t="shared" si="3"/>
        <v>16</v>
      </c>
      <c r="Q14" s="101" t="str">
        <f>Scoreboard!C9</f>
        <v>Thadd &amp; Jordan</v>
      </c>
      <c r="S14">
        <f t="shared" si="5"/>
        <v>16</v>
      </c>
      <c r="T14" s="213" t="str">
        <f ca="1">IFERROR(OFFSET($K$9,MATCH(LARGE($P$9:$P$24,6),$S$9:$S$24,0)-1,0)," ")</f>
        <v>Mitch &amp; Katelyn</v>
      </c>
      <c r="U14" s="123">
        <v>3</v>
      </c>
    </row>
    <row r="15" spans="2:25" ht="24" customHeight="1" thickBot="1" x14ac:dyDescent="0.5">
      <c r="B15" s="103">
        <v>6</v>
      </c>
      <c r="C15" s="333" t="s">
        <v>227</v>
      </c>
      <c r="D15" s="334"/>
      <c r="E15" s="103"/>
      <c r="F15" s="103">
        <v>6</v>
      </c>
      <c r="G15" s="333" t="s">
        <v>229</v>
      </c>
      <c r="H15" s="334"/>
      <c r="I15" s="103"/>
      <c r="J15" s="218">
        <f t="shared" si="0"/>
        <v>6</v>
      </c>
      <c r="K15" s="109" t="str">
        <f>Knockout7[[#This Row],[Column5]]</f>
        <v>Mitch &amp; Katelyn</v>
      </c>
      <c r="L15" s="110" t="str">
        <f>LEFT(Knockout7[[#This Row],[Column5]],FIND(" ",Knockout7[[#This Row],[Column5]],1))</f>
        <v xml:space="preserve">Mitch </v>
      </c>
      <c r="M15" s="110" t="str">
        <f t="shared" si="1"/>
        <v>Katelyn</v>
      </c>
      <c r="N15" s="110">
        <f t="shared" si="4"/>
        <v>1</v>
      </c>
      <c r="O15" s="110">
        <f t="shared" si="2"/>
        <v>5</v>
      </c>
      <c r="P15" s="111">
        <f t="shared" si="3"/>
        <v>6</v>
      </c>
      <c r="Q15" s="101" t="str">
        <f>Scoreboard!C10</f>
        <v>Mitch &amp; Katelyn</v>
      </c>
      <c r="S15">
        <f t="shared" si="5"/>
        <v>6</v>
      </c>
      <c r="T15" s="213" t="str">
        <f ca="1">IFERROR(OFFSET($K$9,MATCH(LARGE($P$9:$P$24,7),$S$9:$S$24,0)-1,0)," ")</f>
        <v>Mitch &amp; Katelyn</v>
      </c>
      <c r="U15" s="123">
        <v>2</v>
      </c>
    </row>
    <row r="16" spans="2:25" ht="24" customHeight="1" thickBot="1" x14ac:dyDescent="0.5">
      <c r="B16" s="103">
        <v>7</v>
      </c>
      <c r="C16" s="333" t="s">
        <v>225</v>
      </c>
      <c r="D16" s="334"/>
      <c r="E16" s="103"/>
      <c r="F16" s="103">
        <v>7</v>
      </c>
      <c r="G16" s="333"/>
      <c r="H16" s="334"/>
      <c r="I16" s="103"/>
      <c r="J16" s="218">
        <f t="shared" si="0"/>
        <v>6</v>
      </c>
      <c r="K16" s="109" t="str">
        <f>Knockout7[[#This Row],[Column5]]</f>
        <v>B-Dave &amp; Halley</v>
      </c>
      <c r="L16" s="110" t="str">
        <f>LEFT(Knockout7[[#This Row],[Column5]],FIND(" ",Knockout7[[#This Row],[Column5]],1))</f>
        <v xml:space="preserve">B-Dave </v>
      </c>
      <c r="M16" s="110" t="str">
        <f t="shared" si="1"/>
        <v>Halley</v>
      </c>
      <c r="N16" s="110">
        <f t="shared" si="4"/>
        <v>3</v>
      </c>
      <c r="O16" s="110">
        <f t="shared" si="2"/>
        <v>3</v>
      </c>
      <c r="P16" s="111">
        <f t="shared" si="3"/>
        <v>6</v>
      </c>
      <c r="Q16" s="101" t="str">
        <f>Scoreboard!C11</f>
        <v>B-Dave &amp; Halley</v>
      </c>
      <c r="S16">
        <f t="shared" si="5"/>
        <v>6</v>
      </c>
      <c r="T16" s="213" t="str">
        <f ca="1">IFERROR(OFFSET($K$9,MATCH(LARGE($P$9:$P$24,8),$S$9:$S$24,0)-1,0)," ")</f>
        <v>Ty &amp; Angela</v>
      </c>
      <c r="U16" s="123">
        <v>1</v>
      </c>
    </row>
    <row r="17" spans="2:21" ht="24" customHeight="1" thickBot="1" x14ac:dyDescent="0.5">
      <c r="B17" s="103">
        <v>8</v>
      </c>
      <c r="C17" s="333" t="s">
        <v>246</v>
      </c>
      <c r="D17" s="334"/>
      <c r="E17" s="103"/>
      <c r="F17" s="103">
        <v>8</v>
      </c>
      <c r="G17" s="333"/>
      <c r="H17" s="334"/>
      <c r="I17" s="103"/>
      <c r="J17" s="218">
        <f t="shared" si="0"/>
        <v>9</v>
      </c>
      <c r="K17" s="109" t="str">
        <f>Knockout7[[#This Row],[Column5]]</f>
        <v>Trevor &amp; Kristina</v>
      </c>
      <c r="L17" s="110" t="str">
        <f>LEFT(Knockout7[[#This Row],[Column5]],FIND(" ",Knockout7[[#This Row],[Column5]],1))</f>
        <v xml:space="preserve">Trevor </v>
      </c>
      <c r="M17" s="110" t="str">
        <f t="shared" si="1"/>
        <v>Kristina</v>
      </c>
      <c r="N17" s="110">
        <f t="shared" si="4"/>
        <v>0</v>
      </c>
      <c r="O17" s="110">
        <f t="shared" si="2"/>
        <v>0</v>
      </c>
      <c r="P17" s="111">
        <f t="shared" si="3"/>
        <v>0</v>
      </c>
      <c r="Q17" s="101" t="str">
        <f>Scoreboard!C12</f>
        <v>Trevor &amp; Kristina</v>
      </c>
      <c r="S17" t="str">
        <f t="shared" si="5"/>
        <v xml:space="preserve"> </v>
      </c>
      <c r="U17" s="123"/>
    </row>
    <row r="18" spans="2:21" ht="24" customHeight="1" x14ac:dyDescent="0.45">
      <c r="E18" s="103"/>
      <c r="G18" t="s">
        <v>254</v>
      </c>
      <c r="I18" s="103"/>
      <c r="J18" s="218">
        <f t="shared" si="0"/>
        <v>9</v>
      </c>
      <c r="K18" s="109" t="str">
        <f>Knockout7[[#This Row],[Column5]]</f>
        <v>Rhett &amp; Haylee</v>
      </c>
      <c r="L18" s="110" t="str">
        <f>LEFT(Knockout7[[#This Row],[Column5]],FIND(" ",Knockout7[[#This Row],[Column5]],1))</f>
        <v xml:space="preserve">Rhett </v>
      </c>
      <c r="M18" s="110" t="str">
        <f t="shared" si="1"/>
        <v>Haylee</v>
      </c>
      <c r="N18" s="110">
        <f t="shared" si="4"/>
        <v>0</v>
      </c>
      <c r="O18" s="110">
        <f t="shared" si="2"/>
        <v>0</v>
      </c>
      <c r="P18" s="111">
        <f t="shared" si="3"/>
        <v>0</v>
      </c>
      <c r="Q18" s="101" t="str">
        <f>Scoreboard!C13</f>
        <v>Rhett &amp; Haylee</v>
      </c>
      <c r="S18" t="str">
        <f t="shared" si="5"/>
        <v xml:space="preserve"> </v>
      </c>
    </row>
    <row r="19" spans="2:21" ht="24" customHeight="1" x14ac:dyDescent="0.45">
      <c r="C19" s="103"/>
      <c r="D19" s="103"/>
      <c r="E19" s="103"/>
      <c r="F19" s="103"/>
      <c r="G19" s="103"/>
      <c r="H19" s="103"/>
      <c r="I19" s="103"/>
      <c r="J19" s="218">
        <f t="shared" si="0"/>
        <v>9</v>
      </c>
      <c r="K19" s="109" t="str">
        <f>Knockout7[[#This Row],[Column5]]</f>
        <v>Chris &amp; Shelby</v>
      </c>
      <c r="L19" s="110" t="str">
        <f>LEFT(Knockout7[[#This Row],[Column5]],FIND(" ",Knockout7[[#This Row],[Column5]],1))</f>
        <v xml:space="preserve">Chris </v>
      </c>
      <c r="M19" s="110" t="str">
        <f t="shared" si="1"/>
        <v>Shelby</v>
      </c>
      <c r="N19" s="110">
        <f t="shared" si="4"/>
        <v>0</v>
      </c>
      <c r="O19" s="110">
        <f t="shared" si="2"/>
        <v>0</v>
      </c>
      <c r="P19" s="111">
        <f t="shared" si="3"/>
        <v>0</v>
      </c>
      <c r="Q19" s="101" t="str">
        <f>Scoreboard!C14</f>
        <v>Chris &amp; Shelby</v>
      </c>
      <c r="S19" t="str">
        <f t="shared" si="5"/>
        <v xml:space="preserve"> </v>
      </c>
    </row>
    <row r="20" spans="2:21" ht="24" customHeight="1" x14ac:dyDescent="0.45">
      <c r="C20" s="103"/>
      <c r="D20" s="103"/>
      <c r="E20" s="103"/>
      <c r="F20" s="103"/>
      <c r="G20" s="103"/>
      <c r="H20" s="103"/>
      <c r="I20" s="103"/>
      <c r="J20" s="218">
        <f t="shared" si="0"/>
        <v>9</v>
      </c>
      <c r="K20" s="112" t="str">
        <f>Knockout7[[#This Row],[Column5]]</f>
        <v>Jon &amp; Kendra</v>
      </c>
      <c r="L20" s="110" t="str">
        <f>LEFT(Knockout7[[#This Row],[Column5]],FIND(" ",Knockout7[[#This Row],[Column5]],1))</f>
        <v xml:space="preserve">Jon </v>
      </c>
      <c r="M20" s="110" t="str">
        <f t="shared" si="1"/>
        <v>Kendra</v>
      </c>
      <c r="N20" s="110">
        <f t="shared" si="4"/>
        <v>0</v>
      </c>
      <c r="O20" s="110">
        <f t="shared" si="2"/>
        <v>0</v>
      </c>
      <c r="P20" s="113">
        <f t="shared" si="3"/>
        <v>0</v>
      </c>
      <c r="Q20" s="101" t="str">
        <f>Scoreboard!C15</f>
        <v>Jon &amp; Kendra</v>
      </c>
      <c r="S20" t="str">
        <f t="shared" si="5"/>
        <v xml:space="preserve"> </v>
      </c>
    </row>
    <row r="21" spans="2:21" ht="24" customHeight="1" x14ac:dyDescent="0.45">
      <c r="C21" s="103"/>
      <c r="D21" s="103"/>
      <c r="E21" s="103"/>
      <c r="F21" s="103"/>
      <c r="G21" s="103"/>
      <c r="H21" s="103"/>
      <c r="I21" s="103"/>
      <c r="J21" s="218">
        <f t="shared" si="0"/>
        <v>9</v>
      </c>
      <c r="K21" s="109" t="str">
        <f>Knockout7[[#This Row],[Column5]]</f>
        <v>Jim &amp; Liz</v>
      </c>
      <c r="L21" s="110" t="str">
        <f>LEFT(Knockout7[[#This Row],[Column5]],FIND(" ",Knockout7[[#This Row],[Column5]],1))</f>
        <v xml:space="preserve">Jim </v>
      </c>
      <c r="M21" s="110" t="str">
        <f t="shared" si="1"/>
        <v>Liz</v>
      </c>
      <c r="N21" s="110">
        <f t="shared" si="4"/>
        <v>0</v>
      </c>
      <c r="O21" s="110">
        <f t="shared" si="2"/>
        <v>0</v>
      </c>
      <c r="P21" s="111">
        <f t="shared" si="3"/>
        <v>0</v>
      </c>
      <c r="Q21" s="101" t="str">
        <f>Scoreboard!C16</f>
        <v>Jim &amp; Liz</v>
      </c>
      <c r="S21" t="str">
        <f>IF(P21&lt;&gt;0,SUM(N21:O21)," ")</f>
        <v xml:space="preserve"> </v>
      </c>
    </row>
    <row r="22" spans="2:21" ht="24" customHeight="1" x14ac:dyDescent="0.45">
      <c r="C22" s="103"/>
      <c r="D22" s="103"/>
      <c r="E22" s="103"/>
      <c r="F22" s="103"/>
      <c r="G22" s="103"/>
      <c r="H22" s="103"/>
      <c r="I22" s="103"/>
      <c r="J22" s="218">
        <f t="shared" si="0"/>
        <v>9</v>
      </c>
      <c r="K22" s="109" t="str">
        <f>Knockout7[[#This Row],[Column5]]</f>
        <v>Derek &amp; Whitney</v>
      </c>
      <c r="L22" s="110" t="str">
        <f>LEFT(Knockout7[[#This Row],[Column5]],FIND(" ",Knockout7[[#This Row],[Column5]],1))</f>
        <v xml:space="preserve">Derek </v>
      </c>
      <c r="M22" s="110" t="str">
        <f t="shared" si="1"/>
        <v>Whitney</v>
      </c>
      <c r="N22" s="110">
        <f t="shared" si="4"/>
        <v>0</v>
      </c>
      <c r="O22" s="110">
        <f t="shared" si="2"/>
        <v>0</v>
      </c>
      <c r="P22" s="113">
        <f t="shared" si="3"/>
        <v>0</v>
      </c>
      <c r="Q22" s="101" t="str">
        <f>Scoreboard!C17</f>
        <v>Derek &amp; Whitney</v>
      </c>
      <c r="S22" t="str">
        <f>IF(P22&lt;&gt;0,SUM(N22:O22)," ")</f>
        <v xml:space="preserve"> </v>
      </c>
    </row>
    <row r="23" spans="2:21" ht="24" thickBot="1" x14ac:dyDescent="0.5">
      <c r="C23" s="103"/>
      <c r="D23" s="103"/>
      <c r="E23" s="103"/>
      <c r="F23" s="103"/>
      <c r="G23" s="103"/>
      <c r="H23" s="103"/>
      <c r="I23" s="103"/>
      <c r="J23" s="220">
        <f t="shared" si="0"/>
        <v>9</v>
      </c>
      <c r="K23" s="221" t="str">
        <f>Knockout7[[#This Row],[Column5]]</f>
        <v>Blake &amp; Kirsten</v>
      </c>
      <c r="L23" s="110" t="str">
        <f>LEFT(Knockout7[[#This Row],[Column5]],FIND(" ",Knockout7[[#This Row],[Column5]],1))</f>
        <v xml:space="preserve">Blake </v>
      </c>
      <c r="M23" s="110" t="str">
        <f>RIGHT(Q23,LEN(Q23)-FIND("*",SUBSTITUTE(Q23," ","*",LEN(Q23)-LEN(SUBSTITUTE(Q23," ","")))))</f>
        <v>Kirsten</v>
      </c>
      <c r="N23" s="110">
        <f>IF($C$10=M23,10,IF($C$11=M23,8,IF($C$12=M23,6,(IF($C$13=M23,5,(IF($C$14=M23,4,IF($C$15=M23,3,IF($C$16=M23,2,IF($C$17=M23,1,0))))))))))</f>
        <v>0</v>
      </c>
      <c r="O23" s="110">
        <f>IF($G$10=L23,10,IF($G$11=L23,8,IF($G$12=L23,6,(IF($G$13=L23,5,(IF($G$14=L23,4,IF($G$15=L23,3,IF($G$16=L23,2,IF($G$17=L23,1,0))))))))))</f>
        <v>0</v>
      </c>
      <c r="P23" s="113">
        <f>SUM(N23:O23)</f>
        <v>0</v>
      </c>
      <c r="Q23" s="101" t="str">
        <f>Scoreboard!C18</f>
        <v>Blake &amp; Kirsten</v>
      </c>
      <c r="S23" t="str">
        <f>IF(P23&lt;&gt;0,SUM(N23:O23)," ")</f>
        <v xml:space="preserve"> </v>
      </c>
    </row>
    <row r="24" spans="2:21" ht="24" thickBot="1" x14ac:dyDescent="0.5">
      <c r="J24" s="220">
        <f t="shared" si="0"/>
        <v>9</v>
      </c>
      <c r="K24" s="112" t="str">
        <f>Knockout7[[#This Row],[Column5]]</f>
        <v>Peyton &amp; Hannah</v>
      </c>
      <c r="L24" s="110" t="str">
        <f>LEFT(Knockout7[[#This Row],[Column5]],FIND(" ",Knockout7[[#This Row],[Column5]],1))</f>
        <v xml:space="preserve">Peyton </v>
      </c>
      <c r="M24" s="110" t="str">
        <f>RIGHT(Q24,LEN(Q24)-FIND("*",SUBSTITUTE(Q24," ","*",LEN(Q24)-LEN(SUBSTITUTE(Q24," ","")))))</f>
        <v>Hannah</v>
      </c>
      <c r="N24" s="110">
        <f>IF($C$10=M24,10,IF($C$11=M24,8,IF($C$12=M24,6,(IF($C$13=M24,5,(IF($C$14=M24,4,IF($C$15=M24,3,IF($C$16=M24,2,IF($C$17=M24,1,0))))))))))</f>
        <v>0</v>
      </c>
      <c r="O24" s="110">
        <f>IF($G$10=L24,10,IF($G$11=L24,8,IF($G$12=L24,6,(IF($G$13=L24,5,(IF($G$14=L24,4,IF($G$15=L24,3,IF($G$16=L24,2,IF($G$17=L24,1,0))))))))))</f>
        <v>0</v>
      </c>
      <c r="P24" s="113">
        <f>SUM(N24:O24)</f>
        <v>0</v>
      </c>
      <c r="Q24" s="101" t="str">
        <f>Scoreboard!C19</f>
        <v>Peyton &amp; Hannah</v>
      </c>
      <c r="S24" t="str">
        <f>IF(P24&lt;&gt;0,SUM(N24:O24)," ")</f>
        <v xml:space="preserve"> </v>
      </c>
    </row>
  </sheetData>
  <mergeCells count="19">
    <mergeCell ref="C15:D15"/>
    <mergeCell ref="G15:H15"/>
    <mergeCell ref="C16:D16"/>
    <mergeCell ref="G16:H16"/>
    <mergeCell ref="C17:D17"/>
    <mergeCell ref="G17:H17"/>
    <mergeCell ref="C12:D12"/>
    <mergeCell ref="G12:H12"/>
    <mergeCell ref="C13:D13"/>
    <mergeCell ref="G13:H13"/>
    <mergeCell ref="C14:D14"/>
    <mergeCell ref="G14:H14"/>
    <mergeCell ref="C11:D11"/>
    <mergeCell ref="G11:H11"/>
    <mergeCell ref="V3:X3"/>
    <mergeCell ref="C9:D9"/>
    <mergeCell ref="G9:H9"/>
    <mergeCell ref="C10:D10"/>
    <mergeCell ref="G10:H10"/>
  </mergeCells>
  <conditionalFormatting sqref="J9:J24">
    <cfRule type="cellIs" dxfId="14" priority="1" operator="greaterThanOrEqual">
      <formula>9</formula>
    </cfRule>
    <cfRule type="duplicateValues" dxfId="13" priority="2"/>
  </conditionalFormatting>
  <conditionalFormatting sqref="G10:H17">
    <cfRule type="duplicateValues" dxfId="12" priority="3"/>
  </conditionalFormatting>
  <conditionalFormatting sqref="C10:D17">
    <cfRule type="duplicateValues" dxfId="11" priority="4"/>
  </conditionalFormatting>
  <dataValidations count="2">
    <dataValidation type="list" allowBlank="1" showInputMessage="1" showErrorMessage="1" sqref="G10:H17" xr:uid="{00000000-0002-0000-0A00-000002000000}">
      <formula1>$L$9:$L$24</formula1>
    </dataValidation>
    <dataValidation type="list" allowBlank="1" showInputMessage="1" showErrorMessage="1" sqref="C10:D17" xr:uid="{00000000-0002-0000-0A00-000003000000}">
      <formula1>$M$9:$M$24</formula1>
    </dataValidation>
  </dataValidations>
  <hyperlinks>
    <hyperlink ref="V3" location="Scoreboard!A1" display="Return to Scoreboard" xr:uid="{00000000-0004-0000-0A00-000000000000}"/>
  </hyperlink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K31"/>
  <sheetViews>
    <sheetView showGridLines="0" showRowColHeaders="0" workbookViewId="0">
      <selection activeCell="E32" sqref="E32"/>
    </sheetView>
  </sheetViews>
  <sheetFormatPr defaultRowHeight="14.4" x14ac:dyDescent="0.3"/>
  <cols>
    <col min="3" max="3" width="8.44140625" customWidth="1"/>
    <col min="4" max="4" width="10.44140625" customWidth="1"/>
  </cols>
  <sheetData>
    <row r="1" spans="1:11" ht="7.2" customHeight="1" thickBot="1" x14ac:dyDescent="0.35">
      <c r="A1" t="s">
        <v>6</v>
      </c>
    </row>
    <row r="2" spans="1:11" ht="15" x14ac:dyDescent="0.3">
      <c r="E2" s="390" t="s">
        <v>40</v>
      </c>
      <c r="F2" s="391"/>
      <c r="G2" s="391"/>
      <c r="H2" s="392"/>
    </row>
    <row r="3" spans="1:11" ht="6.6" customHeight="1" x14ac:dyDescent="0.3">
      <c r="E3" s="413" t="s">
        <v>41</v>
      </c>
      <c r="F3" s="414"/>
      <c r="G3" s="414"/>
      <c r="H3" s="415"/>
    </row>
    <row r="4" spans="1:11" ht="8.4" customHeight="1" thickBot="1" x14ac:dyDescent="0.35">
      <c r="E4" s="416"/>
      <c r="F4" s="417"/>
      <c r="G4" s="417"/>
      <c r="H4" s="418"/>
    </row>
    <row r="5" spans="1:11" ht="8.1" customHeight="1" thickBot="1" x14ac:dyDescent="0.35">
      <c r="D5" s="8"/>
      <c r="E5" s="8"/>
      <c r="F5" s="8"/>
      <c r="G5" s="8"/>
      <c r="H5" s="9"/>
    </row>
    <row r="6" spans="1:11" ht="15" x14ac:dyDescent="0.3">
      <c r="E6" s="390" t="s">
        <v>42</v>
      </c>
      <c r="F6" s="391"/>
      <c r="G6" s="391"/>
      <c r="H6" s="392"/>
    </row>
    <row r="7" spans="1:11" ht="87" customHeight="1" thickBot="1" x14ac:dyDescent="0.35">
      <c r="E7" s="419" t="s">
        <v>44</v>
      </c>
      <c r="F7" s="420"/>
      <c r="G7" s="420"/>
      <c r="H7" s="421"/>
    </row>
    <row r="8" spans="1:11" ht="5.7" customHeight="1" thickBot="1" x14ac:dyDescent="0.35">
      <c r="E8" s="7"/>
      <c r="F8" s="7"/>
      <c r="G8" s="7"/>
      <c r="H8" s="7"/>
    </row>
    <row r="9" spans="1:11" ht="15" x14ac:dyDescent="0.3">
      <c r="E9" s="399" t="s">
        <v>50</v>
      </c>
      <c r="F9" s="400"/>
      <c r="G9" s="400"/>
      <c r="H9" s="401"/>
    </row>
    <row r="10" spans="1:11" ht="63.3" customHeight="1" thickBot="1" x14ac:dyDescent="0.35">
      <c r="E10" s="428" t="s">
        <v>154</v>
      </c>
      <c r="F10" s="429"/>
      <c r="G10" s="429"/>
      <c r="H10" s="430"/>
    </row>
    <row r="11" spans="1:11" ht="5.7" customHeight="1" thickBot="1" x14ac:dyDescent="0.35"/>
    <row r="12" spans="1:11" ht="15" x14ac:dyDescent="0.3">
      <c r="E12" s="393" t="s">
        <v>43</v>
      </c>
      <c r="F12" s="394"/>
      <c r="G12" s="394"/>
      <c r="H12" s="395"/>
    </row>
    <row r="13" spans="1:11" ht="69.599999999999994" customHeight="1" thickBot="1" x14ac:dyDescent="0.35">
      <c r="E13" s="422" t="s">
        <v>193</v>
      </c>
      <c r="F13" s="423"/>
      <c r="G13" s="423"/>
      <c r="H13" s="424"/>
    </row>
    <row r="14" spans="1:11" ht="4.2" customHeight="1" thickBot="1" x14ac:dyDescent="0.35"/>
    <row r="15" spans="1:11" ht="15" x14ac:dyDescent="0.3">
      <c r="E15" s="393" t="s">
        <v>146</v>
      </c>
      <c r="F15" s="394"/>
      <c r="G15" s="394"/>
      <c r="H15" s="395"/>
      <c r="I15" s="66"/>
      <c r="J15" s="66"/>
      <c r="K15" s="66"/>
    </row>
    <row r="16" spans="1:11" ht="43.5" customHeight="1" thickBot="1" x14ac:dyDescent="0.35">
      <c r="E16" s="425" t="s">
        <v>194</v>
      </c>
      <c r="F16" s="426"/>
      <c r="G16" s="426"/>
      <c r="H16" s="427"/>
      <c r="I16" s="408"/>
      <c r="J16" s="409"/>
      <c r="K16" s="409"/>
    </row>
    <row r="17" spans="4:9" ht="4.2" customHeight="1" thickBot="1" x14ac:dyDescent="0.35"/>
    <row r="18" spans="4:9" ht="15" x14ac:dyDescent="0.3">
      <c r="E18" s="399" t="s">
        <v>48</v>
      </c>
      <c r="F18" s="400"/>
      <c r="G18" s="400"/>
      <c r="H18" s="401"/>
    </row>
    <row r="19" spans="4:9" ht="62.1" customHeight="1" thickBot="1" x14ac:dyDescent="0.35">
      <c r="E19" s="434" t="s">
        <v>135</v>
      </c>
      <c r="F19" s="435"/>
      <c r="G19" s="435"/>
      <c r="H19" s="436"/>
    </row>
    <row r="20" spans="4:9" ht="4.2" customHeight="1" thickBot="1" x14ac:dyDescent="0.35"/>
    <row r="21" spans="4:9" ht="15" x14ac:dyDescent="0.3">
      <c r="E21" s="390" t="s">
        <v>46</v>
      </c>
      <c r="F21" s="391"/>
      <c r="G21" s="391"/>
      <c r="H21" s="392"/>
    </row>
    <row r="22" spans="4:9" ht="89.4" customHeight="1" thickBot="1" x14ac:dyDescent="0.35">
      <c r="E22" s="402" t="s">
        <v>128</v>
      </c>
      <c r="F22" s="403"/>
      <c r="G22" s="403"/>
      <c r="H22" s="404"/>
    </row>
    <row r="23" spans="4:9" ht="6.6" customHeight="1" thickBot="1" x14ac:dyDescent="0.35"/>
    <row r="24" spans="4:9" x14ac:dyDescent="0.3">
      <c r="E24" s="399" t="s">
        <v>47</v>
      </c>
      <c r="F24" s="400"/>
      <c r="G24" s="400"/>
      <c r="H24" s="401"/>
    </row>
    <row r="25" spans="4:9" ht="161.1" customHeight="1" thickBot="1" x14ac:dyDescent="0.35">
      <c r="D25" s="120"/>
      <c r="E25" s="405" t="s">
        <v>164</v>
      </c>
      <c r="F25" s="406"/>
      <c r="G25" s="406"/>
      <c r="H25" s="407"/>
      <c r="I25" s="119"/>
    </row>
    <row r="26" spans="4:9" ht="3.45" customHeight="1" thickBot="1" x14ac:dyDescent="0.35"/>
    <row r="27" spans="4:9" x14ac:dyDescent="0.3">
      <c r="E27" s="399" t="s">
        <v>49</v>
      </c>
      <c r="F27" s="437"/>
      <c r="G27" s="437"/>
      <c r="H27" s="438"/>
    </row>
    <row r="28" spans="4:9" ht="31.2" customHeight="1" thickBot="1" x14ac:dyDescent="0.35">
      <c r="E28" s="431" t="s">
        <v>137</v>
      </c>
      <c r="F28" s="432"/>
      <c r="G28" s="432"/>
      <c r="H28" s="433"/>
    </row>
    <row r="29" spans="4:9" ht="4.6500000000000004" customHeight="1" thickBot="1" x14ac:dyDescent="0.35"/>
    <row r="30" spans="4:9" ht="15" customHeight="1" x14ac:dyDescent="0.3">
      <c r="E30" s="396" t="s">
        <v>45</v>
      </c>
      <c r="F30" s="397"/>
      <c r="G30" s="397"/>
      <c r="H30" s="398"/>
    </row>
    <row r="31" spans="4:9" ht="43.5" customHeight="1" thickBot="1" x14ac:dyDescent="0.35">
      <c r="E31" s="410" t="s">
        <v>195</v>
      </c>
      <c r="F31" s="411"/>
      <c r="G31" s="411"/>
      <c r="H31" s="412"/>
    </row>
  </sheetData>
  <mergeCells count="21">
    <mergeCell ref="I16:K16"/>
    <mergeCell ref="E31:H31"/>
    <mergeCell ref="E3:H4"/>
    <mergeCell ref="E7:H7"/>
    <mergeCell ref="E13:H13"/>
    <mergeCell ref="E16:H16"/>
    <mergeCell ref="E12:H12"/>
    <mergeCell ref="E9:H9"/>
    <mergeCell ref="E10:H10"/>
    <mergeCell ref="E28:H28"/>
    <mergeCell ref="E19:H19"/>
    <mergeCell ref="E27:H27"/>
    <mergeCell ref="E6:H6"/>
    <mergeCell ref="E2:H2"/>
    <mergeCell ref="E15:H15"/>
    <mergeCell ref="E30:H30"/>
    <mergeCell ref="E18:H18"/>
    <mergeCell ref="E21:H21"/>
    <mergeCell ref="E22:H22"/>
    <mergeCell ref="E24:H24"/>
    <mergeCell ref="E25:H2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E1:F17"/>
  <sheetViews>
    <sheetView showGridLines="0" showRowColHeaders="0" zoomScale="190" zoomScaleNormal="190" workbookViewId="0">
      <selection activeCell="E2" sqref="E2:G16"/>
    </sheetView>
  </sheetViews>
  <sheetFormatPr defaultRowHeight="14.4" x14ac:dyDescent="0.3"/>
  <cols>
    <col min="3" max="3" width="5.109375" customWidth="1"/>
    <col min="5" max="6" width="15.88671875" customWidth="1"/>
  </cols>
  <sheetData>
    <row r="1" spans="5:6" ht="15.6" thickBot="1" x14ac:dyDescent="0.35"/>
    <row r="2" spans="5:6" ht="16.350000000000001" thickTop="1" thickBot="1" x14ac:dyDescent="0.35">
      <c r="E2" s="439" t="s">
        <v>10</v>
      </c>
      <c r="F2" s="440"/>
    </row>
    <row r="3" spans="5:6" ht="15.6" thickTop="1" x14ac:dyDescent="0.3">
      <c r="E3" s="6" t="s">
        <v>11</v>
      </c>
      <c r="F3" s="6" t="s">
        <v>25</v>
      </c>
    </row>
    <row r="4" spans="5:6" ht="15" x14ac:dyDescent="0.3">
      <c r="E4" s="1" t="s">
        <v>12</v>
      </c>
      <c r="F4" s="1" t="s">
        <v>26</v>
      </c>
    </row>
    <row r="5" spans="5:6" ht="15" x14ac:dyDescent="0.3">
      <c r="E5" s="2" t="s">
        <v>13</v>
      </c>
      <c r="F5" s="2" t="s">
        <v>27</v>
      </c>
    </row>
    <row r="6" spans="5:6" ht="15" x14ac:dyDescent="0.3">
      <c r="E6" s="3" t="s">
        <v>14</v>
      </c>
      <c r="F6" s="3" t="s">
        <v>28</v>
      </c>
    </row>
    <row r="7" spans="5:6" ht="15" x14ac:dyDescent="0.3">
      <c r="E7" s="3" t="s">
        <v>15</v>
      </c>
      <c r="F7" s="3" t="s">
        <v>29</v>
      </c>
    </row>
    <row r="8" spans="5:6" ht="15" x14ac:dyDescent="0.3">
      <c r="E8" s="4" t="s">
        <v>16</v>
      </c>
      <c r="F8" s="4" t="s">
        <v>30</v>
      </c>
    </row>
    <row r="9" spans="5:6" ht="15" x14ac:dyDescent="0.3">
      <c r="E9" s="4" t="s">
        <v>17</v>
      </c>
      <c r="F9" s="4" t="s">
        <v>31</v>
      </c>
    </row>
    <row r="10" spans="5:6" ht="15" x14ac:dyDescent="0.3">
      <c r="E10" s="4" t="s">
        <v>18</v>
      </c>
      <c r="F10" s="4" t="s">
        <v>32</v>
      </c>
    </row>
    <row r="11" spans="5:6" ht="15" x14ac:dyDescent="0.3">
      <c r="E11" s="4" t="s">
        <v>19</v>
      </c>
      <c r="F11" s="4" t="s">
        <v>38</v>
      </c>
    </row>
    <row r="12" spans="5:6" ht="15" x14ac:dyDescent="0.3">
      <c r="E12" s="4" t="s">
        <v>20</v>
      </c>
      <c r="F12" s="4" t="s">
        <v>34</v>
      </c>
    </row>
    <row r="13" spans="5:6" ht="15" x14ac:dyDescent="0.3">
      <c r="E13" s="4" t="s">
        <v>21</v>
      </c>
      <c r="F13" s="4" t="s">
        <v>33</v>
      </c>
    </row>
    <row r="14" spans="5:6" ht="15" x14ac:dyDescent="0.3">
      <c r="E14" s="4" t="s">
        <v>22</v>
      </c>
      <c r="F14" s="4" t="s">
        <v>35</v>
      </c>
    </row>
    <row r="15" spans="5:6" ht="15" x14ac:dyDescent="0.3">
      <c r="E15" s="4" t="s">
        <v>23</v>
      </c>
      <c r="F15" s="4" t="s">
        <v>36</v>
      </c>
    </row>
    <row r="16" spans="5:6" ht="15.6" thickBot="1" x14ac:dyDescent="0.35">
      <c r="E16" s="5" t="s">
        <v>24</v>
      </c>
      <c r="F16" s="5" t="s">
        <v>37</v>
      </c>
    </row>
    <row r="17" ht="15.6" thickTop="1" x14ac:dyDescent="0.3"/>
  </sheetData>
  <sortState xmlns:xlrd2="http://schemas.microsoft.com/office/spreadsheetml/2017/richdata2" ref="I1:L17">
    <sortCondition ref="J1:J17"/>
  </sortState>
  <mergeCells count="1">
    <mergeCell ref="E2:F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E1:F15"/>
  <sheetViews>
    <sheetView showGridLines="0" showRowColHeaders="0" zoomScale="200" zoomScaleNormal="200" workbookViewId="0">
      <selection activeCell="E2" sqref="E2:G16"/>
    </sheetView>
  </sheetViews>
  <sheetFormatPr defaultRowHeight="14.4" x14ac:dyDescent="0.3"/>
  <cols>
    <col min="3" max="3" width="5.109375" customWidth="1"/>
    <col min="5" max="6" width="15.88671875" customWidth="1"/>
  </cols>
  <sheetData>
    <row r="1" spans="5:6" ht="10.5" customHeight="1" thickBot="1" x14ac:dyDescent="0.35"/>
    <row r="2" spans="5:6" ht="16.350000000000001" thickTop="1" thickBot="1" x14ac:dyDescent="0.35">
      <c r="E2" s="439" t="s">
        <v>133</v>
      </c>
      <c r="F2" s="440"/>
    </row>
    <row r="3" spans="5:6" ht="15.6" thickTop="1" x14ac:dyDescent="0.3">
      <c r="E3" s="6" t="s">
        <v>11</v>
      </c>
      <c r="F3" s="6" t="s">
        <v>25</v>
      </c>
    </row>
    <row r="4" spans="5:6" ht="15" x14ac:dyDescent="0.3">
      <c r="E4" s="1" t="s">
        <v>12</v>
      </c>
      <c r="F4" s="1" t="s">
        <v>28</v>
      </c>
    </row>
    <row r="5" spans="5:6" ht="15" x14ac:dyDescent="0.3">
      <c r="E5" s="2" t="s">
        <v>13</v>
      </c>
      <c r="F5" s="2" t="s">
        <v>53</v>
      </c>
    </row>
    <row r="6" spans="5:6" ht="15" x14ac:dyDescent="0.3">
      <c r="E6" s="3" t="s">
        <v>14</v>
      </c>
      <c r="F6" s="3" t="s">
        <v>26</v>
      </c>
    </row>
    <row r="7" spans="5:6" ht="15" x14ac:dyDescent="0.3">
      <c r="E7" s="3" t="s">
        <v>15</v>
      </c>
      <c r="F7" s="3" t="s">
        <v>131</v>
      </c>
    </row>
    <row r="8" spans="5:6" ht="15" x14ac:dyDescent="0.3">
      <c r="E8" s="4" t="s">
        <v>16</v>
      </c>
      <c r="F8" s="4" t="s">
        <v>35</v>
      </c>
    </row>
    <row r="9" spans="5:6" ht="15" x14ac:dyDescent="0.3">
      <c r="E9" s="4" t="s">
        <v>17</v>
      </c>
      <c r="F9" s="4" t="s">
        <v>110</v>
      </c>
    </row>
    <row r="10" spans="5:6" ht="15" x14ac:dyDescent="0.3">
      <c r="E10" s="4" t="s">
        <v>18</v>
      </c>
      <c r="F10" s="4" t="s">
        <v>132</v>
      </c>
    </row>
    <row r="11" spans="5:6" ht="15" x14ac:dyDescent="0.3">
      <c r="E11" s="4" t="s">
        <v>19</v>
      </c>
      <c r="F11" s="4" t="s">
        <v>31</v>
      </c>
    </row>
    <row r="12" spans="5:6" ht="15" x14ac:dyDescent="0.3">
      <c r="E12" s="4" t="s">
        <v>20</v>
      </c>
      <c r="F12" s="4" t="s">
        <v>117</v>
      </c>
    </row>
    <row r="13" spans="5:6" ht="15" x14ac:dyDescent="0.3">
      <c r="E13" s="4" t="s">
        <v>21</v>
      </c>
      <c r="F13" s="4" t="s">
        <v>103</v>
      </c>
    </row>
    <row r="14" spans="5:6" ht="15" x14ac:dyDescent="0.3">
      <c r="E14" s="4" t="s">
        <v>22</v>
      </c>
      <c r="F14" s="4" t="s">
        <v>130</v>
      </c>
    </row>
    <row r="15" spans="5:6" ht="15.6" thickBot="1" x14ac:dyDescent="0.35">
      <c r="E15" s="191" t="s">
        <v>23</v>
      </c>
      <c r="F15" s="191" t="s">
        <v>120</v>
      </c>
    </row>
  </sheetData>
  <mergeCells count="1">
    <mergeCell ref="E2:F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315F-BF5D-47BF-91CB-9890D0057BE7}">
  <sheetPr codeName="Sheet15"/>
  <dimension ref="E1:F17"/>
  <sheetViews>
    <sheetView showGridLines="0" showRowColHeaders="0" zoomScale="200" zoomScaleNormal="200" workbookViewId="0">
      <selection activeCell="E2" sqref="E2:G16"/>
    </sheetView>
  </sheetViews>
  <sheetFormatPr defaultRowHeight="14.4" x14ac:dyDescent="0.3"/>
  <cols>
    <col min="3" max="3" width="5.109375" customWidth="1"/>
    <col min="5" max="6" width="15.88671875" customWidth="1"/>
  </cols>
  <sheetData>
    <row r="1" spans="5:6" ht="9.6" customHeight="1" thickBot="1" x14ac:dyDescent="0.35"/>
    <row r="2" spans="5:6" ht="16.350000000000001" thickTop="1" thickBot="1" x14ac:dyDescent="0.35">
      <c r="E2" s="439" t="s">
        <v>162</v>
      </c>
      <c r="F2" s="440"/>
    </row>
    <row r="3" spans="5:6" ht="15.6" thickTop="1" x14ac:dyDescent="0.3">
      <c r="E3" s="6" t="s">
        <v>11</v>
      </c>
      <c r="F3" s="6" t="s">
        <v>157</v>
      </c>
    </row>
    <row r="4" spans="5:6" ht="15" x14ac:dyDescent="0.3">
      <c r="E4" s="1" t="s">
        <v>12</v>
      </c>
      <c r="F4" s="1" t="s">
        <v>25</v>
      </c>
    </row>
    <row r="5" spans="5:6" ht="15" x14ac:dyDescent="0.3">
      <c r="E5" s="2" t="s">
        <v>13</v>
      </c>
      <c r="F5" s="2" t="s">
        <v>35</v>
      </c>
    </row>
    <row r="6" spans="5:6" ht="15" x14ac:dyDescent="0.3">
      <c r="E6" s="3" t="s">
        <v>14</v>
      </c>
      <c r="F6" s="3" t="s">
        <v>110</v>
      </c>
    </row>
    <row r="7" spans="5:6" ht="15" x14ac:dyDescent="0.3">
      <c r="E7" s="3" t="s">
        <v>15</v>
      </c>
      <c r="F7" s="3" t="s">
        <v>138</v>
      </c>
    </row>
    <row r="8" spans="5:6" ht="15" x14ac:dyDescent="0.3">
      <c r="E8" s="4" t="s">
        <v>16</v>
      </c>
      <c r="F8" s="4" t="s">
        <v>155</v>
      </c>
    </row>
    <row r="9" spans="5:6" ht="15" x14ac:dyDescent="0.3">
      <c r="E9" s="4" t="s">
        <v>17</v>
      </c>
      <c r="F9" s="4" t="s">
        <v>158</v>
      </c>
    </row>
    <row r="10" spans="5:6" ht="15" x14ac:dyDescent="0.3">
      <c r="E10" s="4" t="s">
        <v>18</v>
      </c>
      <c r="F10" s="4" t="s">
        <v>160</v>
      </c>
    </row>
    <row r="11" spans="5:6" ht="15" x14ac:dyDescent="0.3">
      <c r="E11" s="4" t="s">
        <v>19</v>
      </c>
      <c r="F11" s="4" t="s">
        <v>143</v>
      </c>
    </row>
    <row r="12" spans="5:6" ht="15" x14ac:dyDescent="0.3">
      <c r="E12" s="4" t="s">
        <v>20</v>
      </c>
      <c r="F12" s="4" t="s">
        <v>156</v>
      </c>
    </row>
    <row r="13" spans="5:6" ht="15" x14ac:dyDescent="0.3">
      <c r="E13" s="4" t="s">
        <v>21</v>
      </c>
      <c r="F13" s="4" t="s">
        <v>151</v>
      </c>
    </row>
    <row r="14" spans="5:6" ht="15" x14ac:dyDescent="0.3">
      <c r="E14" s="4" t="s">
        <v>22</v>
      </c>
      <c r="F14" s="4" t="s">
        <v>132</v>
      </c>
    </row>
    <row r="15" spans="5:6" ht="15" x14ac:dyDescent="0.3">
      <c r="E15" s="4" t="s">
        <v>23</v>
      </c>
      <c r="F15" s="4" t="s">
        <v>142</v>
      </c>
    </row>
    <row r="16" spans="5:6" ht="15" x14ac:dyDescent="0.3">
      <c r="E16" s="4" t="s">
        <v>24</v>
      </c>
      <c r="F16" s="4" t="s">
        <v>117</v>
      </c>
    </row>
    <row r="17" spans="5:6" ht="15.6" thickBot="1" x14ac:dyDescent="0.35">
      <c r="E17" s="191" t="s">
        <v>161</v>
      </c>
      <c r="F17" s="191" t="s">
        <v>144</v>
      </c>
    </row>
  </sheetData>
  <mergeCells count="1">
    <mergeCell ref="E2:F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0BFA3-57C8-4644-AC90-265B00BE0F91}">
  <sheetPr codeName="Sheet16"/>
  <dimension ref="F1:G17"/>
  <sheetViews>
    <sheetView showGridLines="0" showRowColHeaders="0" zoomScale="200" zoomScaleNormal="200" workbookViewId="0">
      <selection activeCell="E2" sqref="E2:G16"/>
    </sheetView>
  </sheetViews>
  <sheetFormatPr defaultRowHeight="14.4" x14ac:dyDescent="0.3"/>
  <cols>
    <col min="3" max="3" width="1.88671875" customWidth="1"/>
    <col min="4" max="4" width="5.88671875" customWidth="1"/>
    <col min="5" max="5" width="15.109375" bestFit="1" customWidth="1"/>
    <col min="6" max="6" width="13.21875" customWidth="1"/>
    <col min="7" max="7" width="15.109375" bestFit="1" customWidth="1"/>
    <col min="9" max="9" width="9.44140625" bestFit="1" customWidth="1"/>
    <col min="10" max="10" width="15.109375" bestFit="1" customWidth="1"/>
  </cols>
  <sheetData>
    <row r="1" spans="6:7" ht="15.6" thickBot="1" x14ac:dyDescent="0.35"/>
    <row r="2" spans="6:7" ht="16.350000000000001" thickTop="1" thickBot="1" x14ac:dyDescent="0.35">
      <c r="F2" s="439" t="s">
        <v>183</v>
      </c>
      <c r="G2" s="440"/>
    </row>
    <row r="3" spans="6:7" ht="15.6" thickTop="1" x14ac:dyDescent="0.3">
      <c r="F3" s="6" t="s">
        <v>11</v>
      </c>
      <c r="G3" s="6" t="s">
        <v>163</v>
      </c>
    </row>
    <row r="4" spans="6:7" ht="15" x14ac:dyDescent="0.3">
      <c r="F4" s="1" t="s">
        <v>12</v>
      </c>
      <c r="G4" s="1" t="s">
        <v>25</v>
      </c>
    </row>
    <row r="5" spans="6:7" ht="15" x14ac:dyDescent="0.3">
      <c r="F5" s="2" t="s">
        <v>13</v>
      </c>
      <c r="G5" s="2" t="s">
        <v>157</v>
      </c>
    </row>
    <row r="6" spans="6:7" ht="15" x14ac:dyDescent="0.3">
      <c r="F6" s="4" t="s">
        <v>14</v>
      </c>
      <c r="G6" s="4" t="s">
        <v>28</v>
      </c>
    </row>
    <row r="7" spans="6:7" ht="15" x14ac:dyDescent="0.3">
      <c r="F7" s="4" t="s">
        <v>184</v>
      </c>
      <c r="G7" s="4" t="s">
        <v>185</v>
      </c>
    </row>
    <row r="8" spans="6:7" ht="15" x14ac:dyDescent="0.3">
      <c r="F8" s="4" t="s">
        <v>184</v>
      </c>
      <c r="G8" s="4" t="s">
        <v>143</v>
      </c>
    </row>
    <row r="9" spans="6:7" ht="15" x14ac:dyDescent="0.3">
      <c r="F9" s="4" t="s">
        <v>17</v>
      </c>
      <c r="G9" s="4" t="s">
        <v>186</v>
      </c>
    </row>
    <row r="10" spans="6:7" ht="15" x14ac:dyDescent="0.3">
      <c r="F10" s="4" t="s">
        <v>18</v>
      </c>
      <c r="G10" s="4" t="s">
        <v>187</v>
      </c>
    </row>
    <row r="11" spans="6:7" ht="15" x14ac:dyDescent="0.3">
      <c r="F11" s="4" t="s">
        <v>19</v>
      </c>
      <c r="G11" s="4" t="s">
        <v>188</v>
      </c>
    </row>
    <row r="12" spans="6:7" ht="15" x14ac:dyDescent="0.3">
      <c r="F12" s="4" t="s">
        <v>20</v>
      </c>
      <c r="G12" s="4" t="s">
        <v>132</v>
      </c>
    </row>
    <row r="13" spans="6:7" ht="15" x14ac:dyDescent="0.3">
      <c r="F13" s="4" t="s">
        <v>21</v>
      </c>
      <c r="G13" s="4" t="s">
        <v>117</v>
      </c>
    </row>
    <row r="14" spans="6:7" ht="15" x14ac:dyDescent="0.3">
      <c r="F14" s="4" t="s">
        <v>22</v>
      </c>
      <c r="G14" s="4" t="s">
        <v>189</v>
      </c>
    </row>
    <row r="15" spans="6:7" ht="15" x14ac:dyDescent="0.3">
      <c r="F15" s="4" t="s">
        <v>23</v>
      </c>
      <c r="G15" s="4" t="s">
        <v>190</v>
      </c>
    </row>
    <row r="16" spans="6:7" ht="15" x14ac:dyDescent="0.3">
      <c r="F16" s="4" t="s">
        <v>24</v>
      </c>
      <c r="G16" s="4" t="s">
        <v>191</v>
      </c>
    </row>
    <row r="17" spans="6:7" ht="15.6" thickBot="1" x14ac:dyDescent="0.35">
      <c r="F17" s="191" t="s">
        <v>161</v>
      </c>
      <c r="G17" s="191" t="s">
        <v>165</v>
      </c>
    </row>
  </sheetData>
  <mergeCells count="1">
    <mergeCell ref="F2:G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A71C-3B30-4596-A55C-15AD2D299EEB}">
  <sheetPr codeName="Sheet17"/>
  <dimension ref="B1:O21"/>
  <sheetViews>
    <sheetView showGridLines="0" showRowColHeaders="0" zoomScale="155" zoomScaleNormal="155" workbookViewId="0">
      <selection activeCell="H19" sqref="H19:K21"/>
    </sheetView>
  </sheetViews>
  <sheetFormatPr defaultRowHeight="14.4" x14ac:dyDescent="0.3"/>
  <cols>
    <col min="1" max="1" width="3.44140625" customWidth="1"/>
    <col min="2" max="2" width="9.44140625" bestFit="1" customWidth="1"/>
    <col min="3" max="3" width="15.33203125" bestFit="1" customWidth="1"/>
    <col min="4" max="4" width="1.33203125" customWidth="1"/>
    <col min="5" max="5" width="9.44140625" bestFit="1" customWidth="1"/>
    <col min="6" max="6" width="14.6640625" bestFit="1" customWidth="1"/>
    <col min="7" max="7" width="1.21875" customWidth="1"/>
    <col min="8" max="8" width="9.44140625" bestFit="1" customWidth="1"/>
    <col min="9" max="9" width="15.109375" bestFit="1" customWidth="1"/>
    <col min="10" max="10" width="1.33203125" customWidth="1"/>
    <col min="11" max="11" width="10.109375" bestFit="1" customWidth="1"/>
    <col min="12" max="12" width="15.109375" bestFit="1" customWidth="1"/>
    <col min="13" max="13" width="1.44140625" customWidth="1"/>
    <col min="14" max="14" width="9.44140625" bestFit="1" customWidth="1"/>
    <col min="15" max="15" width="15.109375" bestFit="1" customWidth="1"/>
  </cols>
  <sheetData>
    <row r="1" spans="2:15" ht="15.6" thickBot="1" x14ac:dyDescent="0.35"/>
    <row r="2" spans="2:15" ht="16.350000000000001" thickTop="1" thickBot="1" x14ac:dyDescent="0.35">
      <c r="B2" s="439">
        <v>2016</v>
      </c>
      <c r="C2" s="440"/>
      <c r="D2">
        <v>2017</v>
      </c>
      <c r="E2" s="439">
        <v>2017</v>
      </c>
      <c r="F2" s="440"/>
      <c r="H2" s="439">
        <v>2018</v>
      </c>
      <c r="I2" s="440"/>
      <c r="K2" s="439">
        <v>2019</v>
      </c>
      <c r="L2" s="440"/>
      <c r="N2" s="439">
        <v>2020</v>
      </c>
      <c r="O2" s="440"/>
    </row>
    <row r="3" spans="2:15" ht="15.6" thickTop="1" x14ac:dyDescent="0.3">
      <c r="B3" s="6" t="s">
        <v>11</v>
      </c>
      <c r="C3" s="6" t="s">
        <v>25</v>
      </c>
      <c r="E3" s="6" t="s">
        <v>11</v>
      </c>
      <c r="F3" s="6" t="s">
        <v>25</v>
      </c>
      <c r="H3" s="6" t="s">
        <v>11</v>
      </c>
      <c r="I3" s="6" t="s">
        <v>157</v>
      </c>
      <c r="K3" s="6" t="s">
        <v>11</v>
      </c>
      <c r="L3" s="6" t="s">
        <v>163</v>
      </c>
      <c r="N3" s="6" t="s">
        <v>11</v>
      </c>
      <c r="O3" s="6" t="s">
        <v>25</v>
      </c>
    </row>
    <row r="4" spans="2:15" ht="15" x14ac:dyDescent="0.3">
      <c r="B4" s="1" t="s">
        <v>12</v>
      </c>
      <c r="C4" s="1" t="s">
        <v>26</v>
      </c>
      <c r="E4" s="1" t="s">
        <v>12</v>
      </c>
      <c r="F4" s="1" t="s">
        <v>28</v>
      </c>
      <c r="H4" s="1" t="s">
        <v>12</v>
      </c>
      <c r="I4" s="1" t="s">
        <v>25</v>
      </c>
      <c r="K4" s="1" t="s">
        <v>12</v>
      </c>
      <c r="L4" s="1" t="s">
        <v>25</v>
      </c>
      <c r="N4" s="1" t="s">
        <v>12</v>
      </c>
      <c r="O4" s="1" t="s">
        <v>157</v>
      </c>
    </row>
    <row r="5" spans="2:15" ht="15" x14ac:dyDescent="0.3">
      <c r="B5" s="2" t="s">
        <v>13</v>
      </c>
      <c r="C5" s="2" t="s">
        <v>27</v>
      </c>
      <c r="E5" s="2" t="s">
        <v>13</v>
      </c>
      <c r="F5" s="2" t="s">
        <v>53</v>
      </c>
      <c r="H5" s="2" t="s">
        <v>13</v>
      </c>
      <c r="I5" s="2" t="s">
        <v>35</v>
      </c>
      <c r="K5" s="2" t="s">
        <v>13</v>
      </c>
      <c r="L5" s="2" t="s">
        <v>157</v>
      </c>
      <c r="N5" s="2" t="s">
        <v>13</v>
      </c>
      <c r="O5" s="2" t="s">
        <v>181</v>
      </c>
    </row>
    <row r="6" spans="2:15" ht="15" x14ac:dyDescent="0.3">
      <c r="B6" s="3" t="s">
        <v>14</v>
      </c>
      <c r="C6" s="3" t="s">
        <v>28</v>
      </c>
      <c r="E6" s="3" t="s">
        <v>14</v>
      </c>
      <c r="F6" s="3" t="s">
        <v>26</v>
      </c>
      <c r="H6" s="3" t="s">
        <v>14</v>
      </c>
      <c r="I6" s="3" t="s">
        <v>110</v>
      </c>
      <c r="K6" s="4" t="s">
        <v>14</v>
      </c>
      <c r="L6" s="4" t="s">
        <v>28</v>
      </c>
      <c r="N6" s="4" t="s">
        <v>14</v>
      </c>
      <c r="O6" s="4" t="s">
        <v>138</v>
      </c>
    </row>
    <row r="7" spans="2:15" ht="15" x14ac:dyDescent="0.3">
      <c r="B7" s="3" t="s">
        <v>15</v>
      </c>
      <c r="C7" s="3" t="s">
        <v>29</v>
      </c>
      <c r="E7" s="3" t="s">
        <v>15</v>
      </c>
      <c r="F7" s="3" t="s">
        <v>131</v>
      </c>
      <c r="H7" s="3" t="s">
        <v>15</v>
      </c>
      <c r="I7" s="3" t="s">
        <v>138</v>
      </c>
      <c r="K7" s="4" t="s">
        <v>184</v>
      </c>
      <c r="L7" s="4" t="s">
        <v>185</v>
      </c>
      <c r="N7" s="4" t="s">
        <v>15</v>
      </c>
      <c r="O7" s="4" t="s">
        <v>33</v>
      </c>
    </row>
    <row r="8" spans="2:15" ht="15" x14ac:dyDescent="0.3">
      <c r="B8" s="4" t="s">
        <v>16</v>
      </c>
      <c r="C8" s="4" t="s">
        <v>30</v>
      </c>
      <c r="E8" s="4" t="s">
        <v>16</v>
      </c>
      <c r="F8" s="4" t="s">
        <v>35</v>
      </c>
      <c r="G8" s="8"/>
      <c r="H8" s="4" t="s">
        <v>16</v>
      </c>
      <c r="I8" s="4" t="s">
        <v>155</v>
      </c>
      <c r="K8" s="4" t="s">
        <v>184</v>
      </c>
      <c r="L8" s="4" t="s">
        <v>143</v>
      </c>
      <c r="N8" s="4" t="s">
        <v>16</v>
      </c>
      <c r="O8" s="4" t="s">
        <v>180</v>
      </c>
    </row>
    <row r="9" spans="2:15" ht="15" x14ac:dyDescent="0.3">
      <c r="B9" s="4" t="s">
        <v>17</v>
      </c>
      <c r="C9" s="4" t="s">
        <v>31</v>
      </c>
      <c r="E9" s="4" t="s">
        <v>17</v>
      </c>
      <c r="F9" s="4" t="s">
        <v>110</v>
      </c>
      <c r="H9" s="4" t="s">
        <v>17</v>
      </c>
      <c r="I9" s="4" t="s">
        <v>158</v>
      </c>
      <c r="K9" s="4" t="s">
        <v>17</v>
      </c>
      <c r="L9" s="4" t="s">
        <v>186</v>
      </c>
      <c r="N9" s="4" t="s">
        <v>17</v>
      </c>
      <c r="O9" s="4" t="s">
        <v>35</v>
      </c>
    </row>
    <row r="10" spans="2:15" ht="15" x14ac:dyDescent="0.3">
      <c r="B10" s="4" t="s">
        <v>18</v>
      </c>
      <c r="C10" s="4" t="s">
        <v>32</v>
      </c>
      <c r="E10" s="4" t="s">
        <v>18</v>
      </c>
      <c r="F10" s="4" t="s">
        <v>132</v>
      </c>
      <c r="H10" s="4" t="s">
        <v>18</v>
      </c>
      <c r="I10" s="4" t="s">
        <v>160</v>
      </c>
      <c r="K10" s="4" t="s">
        <v>18</v>
      </c>
      <c r="L10" s="4" t="s">
        <v>187</v>
      </c>
      <c r="N10" s="4" t="s">
        <v>18</v>
      </c>
      <c r="O10" s="4" t="s">
        <v>163</v>
      </c>
    </row>
    <row r="11" spans="2:15" ht="15" x14ac:dyDescent="0.3">
      <c r="B11" s="4" t="s">
        <v>19</v>
      </c>
      <c r="C11" s="4" t="s">
        <v>38</v>
      </c>
      <c r="E11" s="4" t="s">
        <v>19</v>
      </c>
      <c r="F11" s="4" t="s">
        <v>31</v>
      </c>
      <c r="H11" s="4" t="s">
        <v>19</v>
      </c>
      <c r="I11" s="4" t="s">
        <v>143</v>
      </c>
      <c r="K11" s="4" t="s">
        <v>19</v>
      </c>
      <c r="L11" s="4" t="s">
        <v>188</v>
      </c>
      <c r="N11" s="4" t="s">
        <v>19</v>
      </c>
      <c r="O11" s="4" t="s">
        <v>205</v>
      </c>
    </row>
    <row r="12" spans="2:15" ht="15" x14ac:dyDescent="0.3">
      <c r="B12" s="4" t="s">
        <v>20</v>
      </c>
      <c r="C12" s="4" t="s">
        <v>34</v>
      </c>
      <c r="E12" s="4" t="s">
        <v>20</v>
      </c>
      <c r="F12" s="4" t="s">
        <v>117</v>
      </c>
      <c r="H12" s="4" t="s">
        <v>20</v>
      </c>
      <c r="I12" s="4" t="s">
        <v>156</v>
      </c>
      <c r="K12" s="4" t="s">
        <v>213</v>
      </c>
      <c r="L12" s="4" t="s">
        <v>132</v>
      </c>
      <c r="N12" s="4" t="s">
        <v>20</v>
      </c>
      <c r="O12" s="4" t="s">
        <v>182</v>
      </c>
    </row>
    <row r="13" spans="2:15" ht="15" x14ac:dyDescent="0.3">
      <c r="B13" s="4" t="s">
        <v>21</v>
      </c>
      <c r="C13" s="4" t="s">
        <v>33</v>
      </c>
      <c r="E13" s="4" t="s">
        <v>21</v>
      </c>
      <c r="F13" s="4" t="s">
        <v>103</v>
      </c>
      <c r="H13" s="4" t="s">
        <v>21</v>
      </c>
      <c r="I13" s="4" t="s">
        <v>151</v>
      </c>
      <c r="K13" s="4" t="s">
        <v>213</v>
      </c>
      <c r="L13" s="4" t="s">
        <v>117</v>
      </c>
      <c r="N13" s="4" t="s">
        <v>21</v>
      </c>
      <c r="O13" s="4" t="s">
        <v>207</v>
      </c>
    </row>
    <row r="14" spans="2:15" ht="15" x14ac:dyDescent="0.3">
      <c r="B14" s="4" t="s">
        <v>22</v>
      </c>
      <c r="C14" s="4" t="s">
        <v>35</v>
      </c>
      <c r="E14" s="4" t="s">
        <v>22</v>
      </c>
      <c r="F14" s="4" t="s">
        <v>130</v>
      </c>
      <c r="H14" s="4" t="s">
        <v>22</v>
      </c>
      <c r="I14" s="4" t="s">
        <v>132</v>
      </c>
      <c r="K14" s="4" t="s">
        <v>22</v>
      </c>
      <c r="L14" s="4" t="s">
        <v>189</v>
      </c>
      <c r="N14" s="4" t="s">
        <v>22</v>
      </c>
      <c r="O14" s="4" t="s">
        <v>143</v>
      </c>
    </row>
    <row r="15" spans="2:15" ht="15.6" thickBot="1" x14ac:dyDescent="0.35">
      <c r="B15" s="4" t="s">
        <v>23</v>
      </c>
      <c r="C15" s="4" t="s">
        <v>36</v>
      </c>
      <c r="E15" s="191" t="s">
        <v>23</v>
      </c>
      <c r="F15" s="191" t="s">
        <v>120</v>
      </c>
      <c r="H15" s="315" t="s">
        <v>212</v>
      </c>
      <c r="I15" s="4" t="s">
        <v>142</v>
      </c>
      <c r="K15" s="4" t="s">
        <v>23</v>
      </c>
      <c r="L15" s="4" t="s">
        <v>190</v>
      </c>
      <c r="N15" s="4" t="s">
        <v>23</v>
      </c>
      <c r="O15" s="4" t="s">
        <v>208</v>
      </c>
    </row>
    <row r="16" spans="2:15" ht="15.6" thickBot="1" x14ac:dyDescent="0.35">
      <c r="B16" s="5" t="s">
        <v>24</v>
      </c>
      <c r="C16" s="5" t="s">
        <v>37</v>
      </c>
      <c r="H16" s="315" t="s">
        <v>212</v>
      </c>
      <c r="I16" s="4" t="s">
        <v>117</v>
      </c>
      <c r="K16" s="4" t="s">
        <v>24</v>
      </c>
      <c r="L16" s="4" t="s">
        <v>191</v>
      </c>
      <c r="N16" s="4" t="s">
        <v>24</v>
      </c>
      <c r="O16" s="4" t="s">
        <v>132</v>
      </c>
    </row>
    <row r="17" spans="2:15" ht="16.350000000000001" thickTop="1" thickBot="1" x14ac:dyDescent="0.35">
      <c r="H17" s="191" t="s">
        <v>161</v>
      </c>
      <c r="I17" s="191" t="s">
        <v>144</v>
      </c>
      <c r="K17" s="191" t="s">
        <v>161</v>
      </c>
      <c r="L17" s="191" t="s">
        <v>165</v>
      </c>
      <c r="N17" s="4" t="s">
        <v>161</v>
      </c>
      <c r="O17" s="4" t="s">
        <v>209</v>
      </c>
    </row>
    <row r="18" spans="2:15" ht="15.6" thickBot="1" x14ac:dyDescent="0.35">
      <c r="B18" s="325"/>
      <c r="C18" s="325"/>
      <c r="D18" s="173"/>
      <c r="E18" s="325"/>
      <c r="N18" s="314" t="s">
        <v>211</v>
      </c>
      <c r="O18" s="314" t="s">
        <v>210</v>
      </c>
    </row>
    <row r="19" spans="2:15" x14ac:dyDescent="0.3">
      <c r="H19" s="365" t="s">
        <v>68</v>
      </c>
      <c r="I19" s="365"/>
      <c r="J19" s="365"/>
      <c r="K19" s="365"/>
    </row>
    <row r="20" spans="2:15" x14ac:dyDescent="0.3">
      <c r="H20" s="365"/>
      <c r="I20" s="365"/>
      <c r="J20" s="365"/>
      <c r="K20" s="365"/>
    </row>
    <row r="21" spans="2:15" x14ac:dyDescent="0.3">
      <c r="H21" s="365"/>
      <c r="I21" s="365"/>
      <c r="J21" s="365"/>
      <c r="K21" s="365"/>
    </row>
  </sheetData>
  <mergeCells count="6">
    <mergeCell ref="B2:C2"/>
    <mergeCell ref="H19:K21"/>
    <mergeCell ref="N2:O2"/>
    <mergeCell ref="K2:L2"/>
    <mergeCell ref="H2:I2"/>
    <mergeCell ref="E2:F2"/>
  </mergeCells>
  <hyperlinks>
    <hyperlink ref="H19" location="Scoreboard!A1" display="Return to Scoreboard" xr:uid="{6541B765-79BE-4305-BFF3-2556540427CD}"/>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C0C764EC9FA248A89D240480025BA3" ma:contentTypeVersion="12" ma:contentTypeDescription="Create a new document." ma:contentTypeScope="" ma:versionID="3654d83b88f99622be2ec18f36cfd63b">
  <xsd:schema xmlns:xsd="http://www.w3.org/2001/XMLSchema" xmlns:xs="http://www.w3.org/2001/XMLSchema" xmlns:p="http://schemas.microsoft.com/office/2006/metadata/properties" xmlns:ns3="1abf261b-3a16-44b3-9607-9a2ba5d93ce4" xmlns:ns4="a5226524-4ffb-4323-b72d-9dd8c6e9eae8" targetNamespace="http://schemas.microsoft.com/office/2006/metadata/properties" ma:root="true" ma:fieldsID="ec1188b580514ad91b9dc22bb4960acf" ns3:_="" ns4:_="">
    <xsd:import namespace="1abf261b-3a16-44b3-9607-9a2ba5d93ce4"/>
    <xsd:import namespace="a5226524-4ffb-4323-b72d-9dd8c6e9eae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f261b-3a16-44b3-9607-9a2ba5d93c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226524-4ffb-4323-b72d-9dd8c6e9eae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9983D0-4C00-4828-B047-8FB33D3B8C50}">
  <ds:schemaRefs>
    <ds:schemaRef ds:uri="http://schemas.microsoft.com/office/2006/metadata/contentType"/>
    <ds:schemaRef ds:uri="http://schemas.microsoft.com/office/2006/metadata/properties/metaAttributes"/>
    <ds:schemaRef ds:uri="http://www.w3.org/2000/xmlns/"/>
    <ds:schemaRef ds:uri="http://www.w3.org/2001/XMLSchema"/>
    <ds:schemaRef ds:uri="1abf261b-3a16-44b3-9607-9a2ba5d93ce4"/>
    <ds:schemaRef ds:uri="a5226524-4ffb-4323-b72d-9dd8c6e9eae8"/>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C29671-3255-4A5B-A691-A6790377F8C4}">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BD6961C4-4EAA-4A2C-9C04-566BB872F3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Scoreboard</vt:lpstr>
      <vt:lpstr>Cornhole15</vt:lpstr>
      <vt:lpstr>Cornhole</vt:lpstr>
      <vt:lpstr>Stump</vt:lpstr>
      <vt:lpstr>Knockout</vt:lpstr>
      <vt:lpstr>Kubb</vt:lpstr>
      <vt:lpstr>Golf</vt:lpstr>
      <vt:lpstr>Golf15</vt:lpstr>
      <vt:lpstr>Frisbee</vt:lpstr>
      <vt:lpstr>Relay</vt:lpstr>
      <vt:lpstr>Pass the Trash</vt:lpstr>
      <vt:lpstr>Format</vt:lpstr>
      <vt:lpstr>2016 Results</vt:lpstr>
      <vt:lpstr>2017 Results</vt:lpstr>
      <vt:lpstr>2018 Results</vt:lpstr>
      <vt:lpstr>2019 Results</vt:lpstr>
      <vt:lpstr>Archives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Robke,Tyson</dc:creator>
  <cp:lastModifiedBy>Tyson Robke</cp:lastModifiedBy>
  <dcterms:created xsi:type="dcterms:W3CDTF">2017-01-30T21:28:49Z</dcterms:created>
  <dcterms:modified xsi:type="dcterms:W3CDTF">2022-02-12T15:42:50Z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0x010100D0C0C764EC9FA248A89D240480025BA3</vt:lpwstr>
  </property>
</Properties>
</file>